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D:\Workspaces\workspace-python\hcsbd-fda-py-scraper\examples\"/>
    </mc:Choice>
  </mc:AlternateContent>
  <xr:revisionPtr revIDLastSave="0" documentId="13_ncr:1_{DF14B228-759B-47C3-B204-36F171120626}" xr6:coauthVersionLast="46" xr6:coauthVersionMax="46" xr10:uidLastSave="{00000000-0000-0000-0000-000000000000}"/>
  <bookViews>
    <workbookView xWindow="-108" yWindow="-108" windowWidth="23256" windowHeight="12576" xr2:uid="{00000000-000D-0000-FFFF-FFFF00000000}"/>
  </bookViews>
  <sheets>
    <sheet name="HCSBD" sheetId="1" r:id="rId1"/>
    <sheet name="FDA" sheetId="2" r:id="rId2"/>
  </sheets>
  <calcPr calcId="181029"/>
</workbook>
</file>

<file path=xl/calcChain.xml><?xml version="1.0" encoding="utf-8"?>
<calcChain xmlns="http://schemas.openxmlformats.org/spreadsheetml/2006/main">
  <c r="A594" i="1" l="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alcChain>
</file>

<file path=xl/sharedStrings.xml><?xml version="1.0" encoding="utf-8"?>
<sst xmlns="http://schemas.openxmlformats.org/spreadsheetml/2006/main" count="3875" uniqueCount="2179">
  <si>
    <t>Data entries</t>
  </si>
  <si>
    <t>Milestone submission</t>
  </si>
  <si>
    <t>Request for priority status</t>
  </si>
  <si>
    <t>Screening 1</t>
  </si>
  <si>
    <t>Review 1</t>
  </si>
  <si>
    <t>Screening 2</t>
  </si>
  <si>
    <t>Review 2</t>
  </si>
  <si>
    <t>Screening 3</t>
  </si>
  <si>
    <t>Review 3</t>
  </si>
  <si>
    <t>brand_name</t>
  </si>
  <si>
    <t>med_ingredient</t>
  </si>
  <si>
    <t>manufacturer</t>
  </si>
  <si>
    <t>id</t>
  </si>
  <si>
    <t>Pre-submission 1</t>
  </si>
  <si>
    <t>Pre-submission 2</t>
  </si>
  <si>
    <t>Advance Consideration</t>
  </si>
  <si>
    <t>Submission filed</t>
  </si>
  <si>
    <t>Acceptance Letter issued</t>
  </si>
  <si>
    <t>Rolling New Drug Submission (NDS) filed</t>
  </si>
  <si>
    <t>Administrative information, Cross-Reference to Rolling NDS</t>
  </si>
  <si>
    <t>Approval issued by Director</t>
  </si>
  <si>
    <t>Refusal</t>
  </si>
  <si>
    <t>Filed</t>
  </si>
  <si>
    <t>Request for reconsideration</t>
  </si>
  <si>
    <t>Health Canada requested withdrawal of priority status</t>
  </si>
  <si>
    <t>Sponsor withdrew priority status</t>
  </si>
  <si>
    <t>Approval issued</t>
  </si>
  <si>
    <t>Rejection issued</t>
  </si>
  <si>
    <t>Acceptance Letter</t>
  </si>
  <si>
    <t>Pre-submission meeting</t>
  </si>
  <si>
    <t>Quality</t>
  </si>
  <si>
    <t>Clinical</t>
  </si>
  <si>
    <t>Deficiency Notice issued</t>
  </si>
  <si>
    <t>NON issued</t>
  </si>
  <si>
    <t>Pre-response to NON meeting</t>
  </si>
  <si>
    <t>Response filed</t>
  </si>
  <si>
    <t>Update Notice issued</t>
  </si>
  <si>
    <t>Submission received in Regulatory Affairs Division (RAD)</t>
  </si>
  <si>
    <t>Rejection Letter issued</t>
  </si>
  <si>
    <t>Request for Reconsideration</t>
  </si>
  <si>
    <t>Labelling Review</t>
  </si>
  <si>
    <t>Response received</t>
  </si>
  <si>
    <t>NOC</t>
  </si>
  <si>
    <t>On-Site Evaluation</t>
  </si>
  <si>
    <t>SAC Teleconference</t>
  </si>
  <si>
    <t>Review of Risk Management Plan</t>
  </si>
  <si>
    <t>Biopharmaceutics</t>
  </si>
  <si>
    <t>Consistency Sample testing</t>
  </si>
  <si>
    <t>Medical</t>
  </si>
  <si>
    <t>Comprehensive</t>
  </si>
  <si>
    <t>Biostatistics</t>
  </si>
  <si>
    <t>Non-clinical</t>
  </si>
  <si>
    <t>Radiation Dosimetry</t>
  </si>
  <si>
    <t>Medical Devices</t>
  </si>
  <si>
    <t>Device</t>
  </si>
  <si>
    <t>Electrocardiogram</t>
  </si>
  <si>
    <t>Label</t>
  </si>
  <si>
    <t>Scientific Advisory</t>
  </si>
  <si>
    <t>Review of Response to NOC/c‑QN</t>
  </si>
  <si>
    <t>Revised Qualifying Notice</t>
  </si>
  <si>
    <t>NOC/c-QN</t>
  </si>
  <si>
    <t>NOC/c</t>
  </si>
  <si>
    <t>Level 1 Appeal</t>
  </si>
  <si>
    <t>NOD/W</t>
  </si>
  <si>
    <t>NON/NODNOD</t>
  </si>
  <si>
    <t>Look Alike Sound Alike name change and revised NOC issued</t>
  </si>
  <si>
    <t>Response to NON filed</t>
  </si>
  <si>
    <t>NON/W</t>
  </si>
  <si>
    <t>NON</t>
  </si>
  <si>
    <t>NOD</t>
  </si>
  <si>
    <t>Expert Advisory Panel meeting</t>
  </si>
  <si>
    <t>Acceptance of Advance Consideration</t>
  </si>
  <si>
    <t>Request to cancel submission filed</t>
  </si>
  <si>
    <t>Submission re-filed Control</t>
  </si>
  <si>
    <t>Submission subject to Federal Court Stay</t>
  </si>
  <si>
    <t>Interim Order issued</t>
  </si>
  <si>
    <t>Authorization for sale</t>
  </si>
  <si>
    <t>Submission withdrawn by sponsor</t>
  </si>
  <si>
    <t>Submission cancelled - administrative</t>
  </si>
  <si>
    <t>Cancellation Letter</t>
  </si>
  <si>
    <t>Aripiprazole</t>
  </si>
  <si>
    <t>Bristol-Myers Squibb Canada</t>
  </si>
  <si>
    <t>SBD00001</t>
  </si>
  <si>
    <t>Tocilizumab</t>
  </si>
  <si>
    <t>Hoffmann-La Roche Limited</t>
  </si>
  <si>
    <t>SBD00002</t>
  </si>
  <si>
    <t>Everolimus</t>
  </si>
  <si>
    <t>Novartis Pharmaceuticals Canada Inc.</t>
  </si>
  <si>
    <t>SBD00003</t>
  </si>
  <si>
    <t>Palonosetron hydrochloride</t>
  </si>
  <si>
    <t>Eisai Limited</t>
  </si>
  <si>
    <t>SBD00004</t>
  </si>
  <si>
    <t>Loteprednol etabonate</t>
  </si>
  <si>
    <t>Bausch and Lomb, Inc.</t>
  </si>
  <si>
    <t>SBD00005</t>
  </si>
  <si>
    <t>Retapamulin</t>
  </si>
  <si>
    <t>GlaxoSmithKline Inc.</t>
  </si>
  <si>
    <t>SBD00006</t>
  </si>
  <si>
    <t>Ciclesonide</t>
  </si>
  <si>
    <t>ALTANA Pharma Inc.</t>
  </si>
  <si>
    <t>SBD00007</t>
  </si>
  <si>
    <t>Insulin glulisine</t>
  </si>
  <si>
    <t>sanofi-aventis Canada Inc.</t>
  </si>
  <si>
    <t>SBD00008</t>
  </si>
  <si>
    <t>Tipranavir</t>
  </si>
  <si>
    <t>Boehringer Ingelheim (Canada) Ltd.</t>
  </si>
  <si>
    <t>SBD00009</t>
  </si>
  <si>
    <t>Haemagglutinin Strain A/California/7/2009 NYMC X-179A purified, inactivated, split-virion influenza antigen (H1N1); squalene; and DL-&lt;span class="fontSize140" style="font-family:'Times New Roman', Times, serif;"&gt;&amp;alpha;&lt;/span&gt;-tocopherol.</t>
  </si>
  <si>
    <t>ID Biomedical doing business in Canada as GlaxoSmithKline Biologicals North America</t>
  </si>
  <si>
    <t>SBD00010</t>
  </si>
  <si>
    <t>Nelarabine</t>
  </si>
  <si>
    <t>SBD00011</t>
  </si>
  <si>
    <t>Fluticasone furoate</t>
  </si>
  <si>
    <t>SBD00012</t>
  </si>
  <si>
    <t>Bevacizumab</t>
  </si>
  <si>
    <t>SBD00013</t>
  </si>
  <si>
    <t>Rasagiline mesylate</t>
  </si>
  <si>
    <t>Teva Pharmaceutical Industries Ltd.</t>
  </si>
  <si>
    <t>SBD00014</t>
  </si>
  <si>
    <t>Rufinamide</t>
  </si>
  <si>
    <t>SBD00015</t>
  </si>
  <si>
    <t>Entecavir</t>
  </si>
  <si>
    <t>SBD00016</t>
  </si>
  <si>
    <t>Belimumab</t>
  </si>
  <si>
    <t>SBD00017</t>
  </si>
  <si>
    <t>C1 Esterase Inhibitor, Human</t>
  </si>
  <si>
    <t>CSL Behring Canada, Inc.</t>
  </si>
  <si>
    <t>SBD00018</t>
  </si>
  <si>
    <t>Besifloxacin</t>
  </si>
  <si>
    <t>Bausch &amp; Lomb Incorporated</t>
  </si>
  <si>
    <t>SBD00019</t>
  </si>
  <si>
    <t>Tositumomab; Iodine I 131 tositumomab</t>
  </si>
  <si>
    <t>SBD00020</t>
  </si>
  <si>
    <t>Aztreonam</t>
  </si>
  <si>
    <t>Gilead Sciences Canada, Inc.</t>
  </si>
  <si>
    <t>SBD00027</t>
  </si>
  <si>
    <t>Ticagrelor</t>
  </si>
  <si>
    <t>AstraZeneca Canada Inc.</t>
  </si>
  <si>
    <t>SBD00021</t>
  </si>
  <si>
    <t>Exenatide</t>
  </si>
  <si>
    <t>Eli Lilly Canada Inc.</t>
  </si>
  <si>
    <t>SBD00022</t>
  </si>
  <si>
    <t>Varenicline tartrate</t>
  </si>
  <si>
    <t>Pfizer Canada Inc.</t>
  </si>
  <si>
    <t>SBD00030</t>
  </si>
  <si>
    <t>Acamprosate calcium</t>
  </si>
  <si>
    <t>Prempharm Inc.</t>
  </si>
  <si>
    <t>SBD00023</t>
  </si>
  <si>
    <t>&lt;sup&gt;18&lt;/sup&gt;F-Fluorodeoxyglucose</t>
  </si>
  <si>
    <t>IPET Pharmaceuticals, Inc.</t>
  </si>
  <si>
    <t>SBD00024</t>
  </si>
  <si>
    <t>Vandetanib</t>
  </si>
  <si>
    <t>SBD00025</t>
  </si>
  <si>
    <t>Idebenone</t>
  </si>
  <si>
    <t>Santhera Pharmaceuticals (Switzerland) Ltd.</t>
  </si>
  <si>
    <t>SBD00026</t>
  </si>
  <si>
    <t>Maraviroc</t>
  </si>
  <si>
    <t>SBD00028</t>
  </si>
  <si>
    <t>Human Papillomavirus Types 16 and 18 (Recombinant, AS04 adjuvanted)</t>
  </si>
  <si>
    <t>SBD00029</t>
  </si>
  <si>
    <t>Colesevelam hydrochloride</t>
  </si>
  <si>
    <t>Genzyme Canada Inc.</t>
  </si>
  <si>
    <t>SBD00031</t>
  </si>
  <si>
    <t>Certolizumab pegol</t>
  </si>
  <si>
    <t>UCB Canada Inc.</t>
  </si>
  <si>
    <t>SBD00032</t>
  </si>
  <si>
    <t>Zucapsaicin</t>
  </si>
  <si>
    <t>Winston Laboratories, Inc.</t>
  </si>
  <si>
    <t>SBD00033</t>
  </si>
  <si>
    <t>Clevidipine</t>
  </si>
  <si>
    <t>The Medicines Company</t>
  </si>
  <si>
    <t>SBD00034</t>
  </si>
  <si>
    <t>Clofarabine</t>
  </si>
  <si>
    <t>SBD00035</t>
  </si>
  <si>
    <t>Duloxetine hydrochloride</t>
  </si>
  <si>
    <t>SBD00040</t>
  </si>
  <si>
    <t>Perindopril arginine</t>
  </si>
  <si>
    <t>Servier Canada Inc.</t>
  </si>
  <si>
    <t>SBD00037</t>
  </si>
  <si>
    <t>Daptomycin</t>
  </si>
  <si>
    <t>Cubist Pharmaceuticals, Inc</t>
  </si>
  <si>
    <t>SBD00039</t>
  </si>
  <si>
    <t>Oxaliplatin</t>
  </si>
  <si>
    <t>SBD00051</t>
  </si>
  <si>
    <t>Roflumilast</t>
  </si>
  <si>
    <t>Nycomed Canada Inc.</t>
  </si>
  <si>
    <t>SBD00041</t>
  </si>
  <si>
    <t>Dexlansoprazole</t>
  </si>
  <si>
    <t>Takeda Canada, Inc.</t>
  </si>
  <si>
    <t>SBD00042</t>
  </si>
  <si>
    <t>Fidaxomicin</t>
  </si>
  <si>
    <t>Optimer Luxembourg 2 S.à.r.l</t>
  </si>
  <si>
    <t>SBD00043</t>
  </si>
  <si>
    <t>Prasugrel hydrochloride</t>
  </si>
  <si>
    <t>SBD00047</t>
  </si>
  <si>
    <t>Doripenem monohydrate</t>
  </si>
  <si>
    <t>Janssen-Ortho Inc.</t>
  </si>
  <si>
    <t>SBD00044</t>
  </si>
  <si>
    <t>Azilsartan medoxomil</t>
  </si>
  <si>
    <t>SBD00045</t>
  </si>
  <si>
    <t>Rilpivirine hydrochloride</t>
  </si>
  <si>
    <t>Janssen Inc.</t>
  </si>
  <si>
    <t>SBD00046</t>
  </si>
  <si>
    <t>Doxycycline, as doxycycline monohydrate</t>
  </si>
  <si>
    <t>Galderma Canada Inc.</t>
  </si>
  <si>
    <t>SBD00048</t>
  </si>
  <si>
    <t>Idursulfase</t>
  </si>
  <si>
    <t>Shire Human Genetic Therapies, Inc.</t>
  </si>
  <si>
    <t>SBD00049</t>
  </si>
  <si>
    <t>Apixaban</t>
  </si>
  <si>
    <t>SBD00050</t>
  </si>
  <si>
    <t>Aprepitant</t>
  </si>
  <si>
    <t>Merck Frosst Canada Ltd.</t>
  </si>
  <si>
    <t>SBD00052</t>
  </si>
  <si>
    <t>Fosaprepitant dimeglumine</t>
  </si>
  <si>
    <t>SBD00053</t>
  </si>
  <si>
    <t>Emtricitabine</t>
  </si>
  <si>
    <t>Gilead Sciences Inc.</t>
  </si>
  <si>
    <t>SBD00054</t>
  </si>
  <si>
    <t>Darifenacin hydrobromide</t>
  </si>
  <si>
    <t>Novartis Pharmaceuticals Canada, Inc.</t>
  </si>
  <si>
    <t>SBD00055</t>
  </si>
  <si>
    <t>Anidulafungin</t>
  </si>
  <si>
    <t>SBD00056</t>
  </si>
  <si>
    <t>Canakinumab</t>
  </si>
  <si>
    <t>SBD00069</t>
  </si>
  <si>
    <t>Cetuximab</t>
  </si>
  <si>
    <t>ImClone Systems Incorporated</t>
  </si>
  <si>
    <t>SBD00057</t>
  </si>
  <si>
    <t>Rivastigmine</t>
  </si>
  <si>
    <t>SBD00058</t>
  </si>
  <si>
    <t>Telaprevir</t>
  </si>
  <si>
    <t>Vertex Pharmaceuticals (Canada) Incorporated</t>
  </si>
  <si>
    <t>SBD00070</t>
  </si>
  <si>
    <t>Deferasirox</t>
  </si>
  <si>
    <t>Novartis Pharmaceuticals Canada Inc</t>
  </si>
  <si>
    <t>SBD00059</t>
  </si>
  <si>
    <t>Fampridine</t>
  </si>
  <si>
    <t>Biogen Idec Canada Inc</t>
  </si>
  <si>
    <t>SBD00060</t>
  </si>
  <si>
    <t>Ferumoxytol</t>
  </si>
  <si>
    <t>Takeda Canada Inc.</t>
  </si>
  <si>
    <t>SBD00061</t>
  </si>
  <si>
    <t>Azelaic acid</t>
  </si>
  <si>
    <t>Berlex Canada Inc.</t>
  </si>
  <si>
    <t>SBD00062</t>
  </si>
  <si>
    <t>Degarelix acetate</t>
  </si>
  <si>
    <t>Ferring Pharmaceuticals, Inc</t>
  </si>
  <si>
    <t>SBD00063</t>
  </si>
  <si>
    <t>Influenza Virus Type A (H1N1) &lt;br /&gt;Influenza Virus Type A (H3N2) &lt;br /&gt;Influenza Virus Type B</t>
  </si>
  <si>
    <t>AstraZeneca Canada</t>
  </si>
  <si>
    <t>SBD00064</t>
  </si>
  <si>
    <t>Lanthanum (as lanthanum carbonate hydrate)</t>
  </si>
  <si>
    <t>Shire BioChem Inc.</t>
  </si>
  <si>
    <t>SBD00065</t>
  </si>
  <si>
    <t>Recombinant human papillomavirus (Types 6, 11, 16, 18) L1 protein</t>
  </si>
  <si>
    <t>SBD00066</t>
  </si>
  <si>
    <t>Fingolimod hydrochloride</t>
  </si>
  <si>
    <t>SBD00067</t>
  </si>
  <si>
    <t>Eribulin mesylate</t>
  </si>
  <si>
    <t>SBD00068</t>
  </si>
  <si>
    <t>Axitinib</t>
  </si>
  <si>
    <t>SBD00071</t>
  </si>
  <si>
    <t>Nitric oxide</t>
  </si>
  <si>
    <t>INO Therapeutics</t>
  </si>
  <si>
    <t>SBD00072</t>
  </si>
  <si>
    <t>Eplerenone</t>
  </si>
  <si>
    <t>SBD00073</t>
  </si>
  <si>
    <t>Etravirine</t>
  </si>
  <si>
    <t>SBD00074</t>
  </si>
  <si>
    <t>Paliperidone</t>
  </si>
  <si>
    <t>SBD00075</t>
  </si>
  <si>
    <t>Paliperidone palmitate</t>
  </si>
  <si>
    <t>SBD00076</t>
  </si>
  <si>
    <t>Raltegravir</t>
  </si>
  <si>
    <t>SBD00077</t>
  </si>
  <si>
    <t>Japanese encephalitis vaccine (inactivated, adsorbed)</t>
  </si>
  <si>
    <t>Intercell AG</t>
  </si>
  <si>
    <t>SBD00078</t>
  </si>
  <si>
    <t>Ruxolitinib, as ruxolitinib phosphate</t>
  </si>
  <si>
    <t>SBD00079</t>
  </si>
  <si>
    <t>Sitagliptin phosphate monohydrate</t>
  </si>
  <si>
    <t>SBD00080</t>
  </si>
  <si>
    <t>Cabazitaxel</t>
  </si>
  <si>
    <t>SBD00081</t>
  </si>
  <si>
    <t>Palifermin</t>
  </si>
  <si>
    <t>Amgen Canada Inc.</t>
  </si>
  <si>
    <t>SBD00082</t>
  </si>
  <si>
    <t>Sapropterin dihydrochloride</t>
  </si>
  <si>
    <t>BioMarin Pharmaceutical Inc.</t>
  </si>
  <si>
    <t>SBD00083</t>
  </si>
  <si>
    <t>Lurasidone Hydrochloride (HCl)</t>
  </si>
  <si>
    <t>Sunovion Pharmaceuticals Canada Inc.</t>
  </si>
  <si>
    <t>SBD00084</t>
  </si>
  <si>
    <t>Sulesomab</t>
  </si>
  <si>
    <t>Immunomedics, Inc.</t>
  </si>
  <si>
    <t>SBD00085</t>
  </si>
  <si>
    <t>Insulin Detemir</t>
  </si>
  <si>
    <t>Novo Nordisk Canada Inc.</t>
  </si>
  <si>
    <t>SBD00086</t>
  </si>
  <si>
    <t>Ranibizumab</t>
  </si>
  <si>
    <t>Novartis Ophthalmics, Novartis Pharmaceuticals Canada Inc.</t>
  </si>
  <si>
    <t>SBD00087</t>
  </si>
  <si>
    <t>Lutropin alpha</t>
  </si>
  <si>
    <t>Serono Canada Inc.</t>
  </si>
  <si>
    <t>SBD00088</t>
  </si>
  <si>
    <t>(S)-3-(Aminomethyl)-5-methylhexanoic acid</t>
  </si>
  <si>
    <t>SBD00089</t>
  </si>
  <si>
    <t>Alemtuzumab</t>
  </si>
  <si>
    <t>Genzyme Corporation</t>
  </si>
  <si>
    <t>SBD00090</t>
  </si>
  <si>
    <t>Pegaptanib sodium</t>
  </si>
  <si>
    <t>SBD00091</t>
  </si>
  <si>
    <t>Meningococcal group A oligosaccharide conjugated to &lt;i&gt;Corynebacterium (C.) diphtheriae&lt;/i&gt; CRM&lt;sub&gt;197&lt;/sub&gt; protein&lt;br /&gt;Meningococcal group C oligosaccharide conjugated to &lt;i&gt;C. diphtheriae&lt;/i&gt; CRM&lt;sub&gt;197&lt;/sub&gt; protein&lt;br /&gt;Meningococcal group W-135 oligosaccharide conjugated to &lt;i&gt;C. diphtheriae&lt;/i&gt; CRM&lt;sub&gt;197&lt;/sub&gt; protein&lt;br /&gt;Meningococcal group Y oligosaccharide conjugated to &lt;i&gt;C. diphtheriae&lt;/i&gt; CRM&lt;sub&gt;197&lt;/sub&gt; protein</t>
  </si>
  <si>
    <t>Novartis Vaccines and Diagnostics Inc.</t>
  </si>
  <si>
    <t>SBD00092</t>
  </si>
  <si>
    <t>Methyl aminolevulinate (as methyl aminolevulinate hydrochloride)</t>
  </si>
  <si>
    <t>SBD00093</t>
  </si>
  <si>
    <t>Methoxy polyethylene glycol-epoetin beta</t>
  </si>
  <si>
    <t>Hoffmann-La Roche Ltd.</t>
  </si>
  <si>
    <t>SBD00094</t>
  </si>
  <si>
    <t>Plerixafor</t>
  </si>
  <si>
    <t>SBD00095</t>
  </si>
  <si>
    <t>Abatacept</t>
  </si>
  <si>
    <t>SBD00108</t>
  </si>
  <si>
    <t>Dronedarone, as dronedarone hydrochloride</t>
  </si>
  <si>
    <t>SBD00096</t>
  </si>
  <si>
    <t>Micafungin sodium</t>
  </si>
  <si>
    <t>Astellas Pharma Canada Inc.</t>
  </si>
  <si>
    <t>SBD00097</t>
  </si>
  <si>
    <t>Alglucosidase alfa</t>
  </si>
  <si>
    <t>SBD00098</t>
  </si>
  <si>
    <t>Nesiritide</t>
  </si>
  <si>
    <t>SBD00099</t>
  </si>
  <si>
    <t>Nepafenac</t>
  </si>
  <si>
    <t>ALCON Canada Inc.</t>
  </si>
  <si>
    <t>SBD00100</t>
  </si>
  <si>
    <t>Sorafenib (as sorafenib tosylate)</t>
  </si>
  <si>
    <t>Bayer Inc.</t>
  </si>
  <si>
    <t>SBD00101</t>
  </si>
  <si>
    <t>Romiplostim</t>
  </si>
  <si>
    <t>SBD00102</t>
  </si>
  <si>
    <t>Tapentadol hydrochloride</t>
  </si>
  <si>
    <t>SBD00103</t>
  </si>
  <si>
    <t>Olmesartan medoxomil</t>
  </si>
  <si>
    <t>Schering-Plough Canada Inc.</t>
  </si>
  <si>
    <t>SBD00104</t>
  </si>
  <si>
    <t>Somatropin</t>
  </si>
  <si>
    <t>Sandoz Canada Inc.</t>
  </si>
  <si>
    <t>SBD00105</t>
  </si>
  <si>
    <t>Indacaterol (as indacaterol maleate)</t>
  </si>
  <si>
    <t>SBD00106</t>
  </si>
  <si>
    <t>Saxagliptin hydrochloride</t>
  </si>
  <si>
    <t>SBD00107</t>
  </si>
  <si>
    <t>Pantoprazole magnesium</t>
  </si>
  <si>
    <t>SBD00109</t>
  </si>
  <si>
    <t>Posaconazole</t>
  </si>
  <si>
    <t>SBD00110</t>
  </si>
  <si>
    <t>dabigatran etexilate, as dabigatran etexilate mesilate</t>
  </si>
  <si>
    <t>Boehringer Ingelheim Canada Ltd.</t>
  </si>
  <si>
    <t>SBD00111</t>
  </si>
  <si>
    <t>Dexmedetomidine Hydrochloride</t>
  </si>
  <si>
    <t>Hospira Healthcare Corporation</t>
  </si>
  <si>
    <t>SBD00112</t>
  </si>
  <si>
    <t>Pneumococcal 13-valent Conjugate Vaccine (Diphtheria CRM&lt;sub&gt;197&lt;/sub&gt; Protein)</t>
  </si>
  <si>
    <t>Wyeth Canada</t>
  </si>
  <si>
    <t>SBD00113</t>
  </si>
  <si>
    <t>Lumiracoxib</t>
  </si>
  <si>
    <t>SBD00114</t>
  </si>
  <si>
    <t>Darunavir</t>
  </si>
  <si>
    <t>SBD00115</t>
  </si>
  <si>
    <t>Gadoxetate disodium</t>
  </si>
  <si>
    <t>SBD00116</t>
  </si>
  <si>
    <t>Desvenlafaxine succinate</t>
  </si>
  <si>
    <t>SBD00117</t>
  </si>
  <si>
    <t>Remestemcel-L, &lt;i&gt;Ex vivo&lt;/i&gt; Cultured Adult Human Mesenchymal Stem Cells (hMSCs)</t>
  </si>
  <si>
    <t>Osiris Therapeutics, Inc.</t>
  </si>
  <si>
    <t>SBD00118</t>
  </si>
  <si>
    <t>Denosumab</t>
  </si>
  <si>
    <t>Amgen Canada Inc</t>
  </si>
  <si>
    <t>SBD00119</t>
  </si>
  <si>
    <t>Silodosin</t>
  </si>
  <si>
    <t>Watson Laboratories, Inc.</t>
  </si>
  <si>
    <t>SBD00120</t>
  </si>
  <si>
    <t>Efalizumab</t>
  </si>
  <si>
    <t>SBD00121</t>
  </si>
  <si>
    <t>Catumaxomab</t>
  </si>
  <si>
    <t>Fresenius Biotech GmbH</t>
  </si>
  <si>
    <t>SBD00125</t>
  </si>
  <si>
    <t>Aliskiren fumarate</t>
  </si>
  <si>
    <t>SBD00122</t>
  </si>
  <si>
    <t>Thrombin alfa (Recombinant)</t>
  </si>
  <si>
    <t>SBD00123</t>
  </si>
  <si>
    <t>Methylnaltrexone bromide</t>
  </si>
  <si>
    <t>SBD00124</t>
  </si>
  <si>
    <t>Prucalopride (as prucalopride succinate)</t>
  </si>
  <si>
    <t>SBD00126</t>
  </si>
  <si>
    <t>Lenalidomide</t>
  </si>
  <si>
    <t>Celgene</t>
  </si>
  <si>
    <t>SBD00127</t>
  </si>
  <si>
    <t>Eltrombopag olamine</t>
  </si>
  <si>
    <t>SBD00128</t>
  </si>
  <si>
    <t>Human rotavirus (strain RIX4414), live, attenuated</t>
  </si>
  <si>
    <t>SBD00129</t>
  </si>
  <si>
    <t>Rotavirus vaccine, live, oral, types G1, G2, G3, G4, and P1(8) (human/bovine reassortants)</t>
  </si>
  <si>
    <t>SBD00130</t>
  </si>
  <si>
    <t>Sunitinib malate</t>
  </si>
  <si>
    <t>SBD00141</t>
  </si>
  <si>
    <t>Rubidium Chloride Rb 82</t>
  </si>
  <si>
    <t>Jubilant DraxImage Inc.</t>
  </si>
  <si>
    <t>SBD00131</t>
  </si>
  <si>
    <t>Tolvaptan</t>
  </si>
  <si>
    <t>Otsuka Pharmaceutical Company, Ltd.</t>
  </si>
  <si>
    <t>SBD00132</t>
  </si>
  <si>
    <t>Asenapine, as asenapine maleate</t>
  </si>
  <si>
    <t>Merck Canada Inc.</t>
  </si>
  <si>
    <t>SBD00133</t>
  </si>
  <si>
    <t>Telbivudine</t>
  </si>
  <si>
    <t>SBD00134</t>
  </si>
  <si>
    <t>Golimumab</t>
  </si>
  <si>
    <t>Centocor Ortho Biotech Inc.</t>
  </si>
  <si>
    <t>SBD00135</t>
  </si>
  <si>
    <t>Eculizumab</t>
  </si>
  <si>
    <t>Alexion Pharmaceuticals, Inc.</t>
  </si>
  <si>
    <t>SBD00136</t>
  </si>
  <si>
    <t>Lanreotide (as lanreotide acetate)</t>
  </si>
  <si>
    <t>Ipsen Limited</t>
  </si>
  <si>
    <t>SBD00137</t>
  </si>
  <si>
    <t>Pegvisomant</t>
  </si>
  <si>
    <t>SBD00138</t>
  </si>
  <si>
    <t>Dasatinib (as monohydrate)</t>
  </si>
  <si>
    <t>SBD00139</t>
  </si>
  <si>
    <t>Ustekinumab</t>
  </si>
  <si>
    <t>SBD00140</t>
  </si>
  <si>
    <t>Silver dihydrogen citrate and citric acid</t>
  </si>
  <si>
    <t>Charlotte Products Limited</t>
  </si>
  <si>
    <t>SBD00142</t>
  </si>
  <si>
    <t>&lt;ul class="data-spacing-bottom"&gt; &lt;li&gt;&lt;em&gt;Streptococcus (S.) pneumoniae&lt;/em&gt; polysaccharide from serotypes 1, 4, 5, 6B, 7F, 9V, 14 and 23F conjugated to Non-Typeable &lt;em&gt;Haemophilus influenzae&lt;/em&gt; (NTHi) protein D (&lt;abbr&gt;PD&lt;/abbr&gt;) carrier protein&lt;/li&gt; &lt;li&gt;&lt;em&gt;S. pneumoniae&lt;/em&gt; polysaccharide from serotype 18C conjugated to tetanus toxoid (&lt;abbr&gt;TT&lt;/abbr&gt;) carrier protein&lt;/li&gt; &lt;li&gt;&lt;em&gt;S. pneumoniae&lt;/em&gt; polysaccharide from serotype 19F conjugated to diphtheria toxoid (&lt;abbr&gt;DT&lt;/abbr&gt;) carrier protein&lt;/li&gt; &lt;/ul&gt;</t>
  </si>
  <si>
    <t>SBD00143</t>
  </si>
  <si>
    <t>Nilotinib hydrochloride monohydrate</t>
  </si>
  <si>
    <t>SBD00145</t>
  </si>
  <si>
    <t>Sitaxsentan sodium</t>
  </si>
  <si>
    <t>Encysive Pharmaceuticals Inc.</t>
  </si>
  <si>
    <t>SBD00146</t>
  </si>
  <si>
    <t>Alitretinoin</t>
  </si>
  <si>
    <t>Basilea Pharmaceuticals Corp.</t>
  </si>
  <si>
    <t>SBD00147</t>
  </si>
  <si>
    <t>Ceftobiprole medocaril</t>
  </si>
  <si>
    <t>SBD00163</t>
  </si>
  <si>
    <t>Temsirolimus</t>
  </si>
  <si>
    <t>SBD00148</t>
  </si>
  <si>
    <t>Fesoterodine fumarate</t>
  </si>
  <si>
    <t>SBD00149</t>
  </si>
  <si>
    <t>Linagliptin</t>
  </si>
  <si>
    <t>SBD00150</t>
  </si>
  <si>
    <t>Tramadol hydrochloride/acetaminophen</t>
  </si>
  <si>
    <t>Janssen Ortho Inc.</t>
  </si>
  <si>
    <t>SBD00151</t>
  </si>
  <si>
    <t>Bendamustine hydrochloride</t>
  </si>
  <si>
    <t>Lundbeck Canada Inc.</t>
  </si>
  <si>
    <t>SBD00152</t>
  </si>
  <si>
    <t>Catridecacog</t>
  </si>
  <si>
    <t>SBD00153</t>
  </si>
  <si>
    <t>Trospium chloride</t>
  </si>
  <si>
    <t>Oryx Pharmaceuticals Inc.</t>
  </si>
  <si>
    <t>SBD00154</t>
  </si>
  <si>
    <t>Vemurafenib</t>
  </si>
  <si>
    <t>Hoffmann-La Roche Limited</t>
  </si>
  <si>
    <t>SBD00164</t>
  </si>
  <si>
    <t>Tigecycline</t>
  </si>
  <si>
    <t>SBD00155</t>
  </si>
  <si>
    <t>Lapatinib ditosylate</t>
  </si>
  <si>
    <t>SBD00156</t>
  </si>
  <si>
    <t>Natalizumab</t>
  </si>
  <si>
    <t>SBD00157</t>
  </si>
  <si>
    <t>Febuxostat</t>
  </si>
  <si>
    <t>SBD00158</t>
  </si>
  <si>
    <t>Histrelin acetate</t>
  </si>
  <si>
    <t>Paladin Labs Inc.</t>
  </si>
  <si>
    <t>SBD00159</t>
  </si>
  <si>
    <t>Gadofosveset trisodium</t>
  </si>
  <si>
    <t>Berlex Canada Inc</t>
  </si>
  <si>
    <t>SBD00160</t>
  </si>
  <si>
    <t>Panitumumab</t>
  </si>
  <si>
    <t>SBD00161</t>
  </si>
  <si>
    <t>Collagenase clostridium histolyticum</t>
  </si>
  <si>
    <t>Auxilium Pharmaceuticals, Inc.</t>
  </si>
  <si>
    <t>SBD00162</t>
  </si>
  <si>
    <t>Ziprasidone hydrochloride monohydrate</t>
  </si>
  <si>
    <t>Pfizer Canada Inc</t>
  </si>
  <si>
    <t>SBD00165</t>
  </si>
  <si>
    <t>Paricalcitol</t>
  </si>
  <si>
    <t>Abbott Laboratories Ltd.</t>
  </si>
  <si>
    <t>SBD00166</t>
  </si>
  <si>
    <t>Ibritumomab tiuxetan&lt;br /&gt;&lt;sup&gt;90&lt;/sup&gt;Y Yttrium Chlori</t>
  </si>
  <si>
    <t>SBD00167</t>
  </si>
  <si>
    <t>Vorinostat</t>
  </si>
  <si>
    <t>SBD00168</t>
  </si>
  <si>
    <t>Abiraterone acetate</t>
  </si>
  <si>
    <t>SBD00169</t>
  </si>
  <si>
    <t>Brentuximab vedotin</t>
  </si>
  <si>
    <t>Seattle Genetics, Inc.</t>
  </si>
  <si>
    <t>SBD00170</t>
  </si>
  <si>
    <t>Riociguat</t>
  </si>
  <si>
    <t>SBD00171</t>
  </si>
  <si>
    <t>Recombinant Human Coagulation Factor IX-FC Fusion Protein (rFIXFc)</t>
  </si>
  <si>
    <t>Biogen Idec Canada Inc.</t>
  </si>
  <si>
    <t>SBD00172</t>
  </si>
  <si>
    <t>Bosutinib</t>
  </si>
  <si>
    <t>SBD00173</t>
  </si>
  <si>
    <t>Fluticasone furoate and vilanterol (as vilanterol trifenatate)</t>
  </si>
  <si>
    <t>SBD00174</t>
  </si>
  <si>
    <t>Nebivolol (as Nebivolol Hydrochloride)</t>
  </si>
  <si>
    <t>Forest Laboratories Canada Inc.</t>
  </si>
  <si>
    <t>SBD00175</t>
  </si>
  <si>
    <t>Carglumic acid</t>
  </si>
  <si>
    <t>Orphan Europe S.A.R.L.</t>
  </si>
  <si>
    <t>SBD00176</t>
  </si>
  <si>
    <t>Linaclotide</t>
  </si>
  <si>
    <t>SBD00177</t>
  </si>
  <si>
    <t>Secukinumab</t>
  </si>
  <si>
    <t>SBD00178</t>
  </si>
  <si>
    <t>Ramucirumab</t>
  </si>
  <si>
    <t>SBD00179</t>
  </si>
  <si>
    <t>Daclatasvir (supplied as daclatasvir dihydrochloride)</t>
  </si>
  <si>
    <t>SBD00180</t>
  </si>
  <si>
    <t>Stiripentol</t>
  </si>
  <si>
    <t>Biocodex SA</t>
  </si>
  <si>
    <t>SBD00181</t>
  </si>
  <si>
    <t>conjugated estrogens/bazedoxifene as bazedoxifene acetate</t>
  </si>
  <si>
    <t>SBD00182</t>
  </si>
  <si>
    <t>Tesamorelin acetate</t>
  </si>
  <si>
    <t>Theratechnologies Inc.</t>
  </si>
  <si>
    <t>SBD00185</t>
  </si>
  <si>
    <t>Difluprednate</t>
  </si>
  <si>
    <t>Alcon Canada Inc.</t>
  </si>
  <si>
    <t>SBD00183</t>
  </si>
  <si>
    <t>Azelastine (as azelastine hydrochloride) and fluticasone propionate</t>
  </si>
  <si>
    <t>Meda Pharmaceuticals Ltd.</t>
  </si>
  <si>
    <t>SBD00184</t>
  </si>
  <si>
    <t>Taliglucerase alfa</t>
  </si>
  <si>
    <t>SBD00186</t>
  </si>
  <si>
    <t>Tedizolid phosphate</t>
  </si>
  <si>
    <t>Cubist Pharmaceuticals Canada, Inc.</t>
  </si>
  <si>
    <t>SBD00187</t>
  </si>
  <si>
    <t>Sofosbuvir</t>
  </si>
  <si>
    <t>Gilead Sciences Canada Inc.</t>
  </si>
  <si>
    <t>SBD00188</t>
  </si>
  <si>
    <t>Regorafenib (as regorafenib monohydrate)</t>
  </si>
  <si>
    <t>SBD00189</t>
  </si>
  <si>
    <t>Asfotase alfa</t>
  </si>
  <si>
    <t>Alexion Pharma International SARL</t>
  </si>
  <si>
    <t>SBD00190</t>
  </si>
  <si>
    <t>Elvitegravir/Cobicistat/Emtricitabine/Tenofovir Disoproxil Fumarate</t>
  </si>
  <si>
    <t>SBD00191</t>
  </si>
  <si>
    <t>Olodaterol Hydrochloride</t>
  </si>
  <si>
    <t>Boehringer Ingelheim (Canada) Limited</t>
  </si>
  <si>
    <t>SBD00192</t>
  </si>
  <si>
    <t>Siltuximab</t>
  </si>
  <si>
    <t>SBD00193</t>
  </si>
  <si>
    <t>Dabrafenib (as dabrafenib mesylate)</t>
  </si>
  <si>
    <t>SBD00194</t>
  </si>
  <si>
    <t>Dimethyl fumarate</t>
  </si>
  <si>
    <t>SBD00195</t>
  </si>
  <si>
    <t>Dolutegravir (as dolutegravir sodium)</t>
  </si>
  <si>
    <t>ViiV Healthcare ULC</t>
  </si>
  <si>
    <t>SBD00196</t>
  </si>
  <si>
    <t>Vortioxetine (as vortioxetine hydrobromide)</t>
  </si>
  <si>
    <t>SBD00197</t>
  </si>
  <si>
    <t>Aclidinium bromide</t>
  </si>
  <si>
    <t>Almirall, S.A.</t>
  </si>
  <si>
    <t>SBD00198</t>
  </si>
  <si>
    <t>Elosulfase alfa</t>
  </si>
  <si>
    <t>BioMarin International Limited</t>
  </si>
  <si>
    <t>SBD00199</t>
  </si>
  <si>
    <t>Tofacitinib (as tofacitinib citrate)</t>
  </si>
  <si>
    <t>SBD00200</t>
  </si>
  <si>
    <t>Radium Ra 223 dichloride</t>
  </si>
  <si>
    <t>SBD00201</t>
  </si>
  <si>
    <t>Enzalutamide</t>
  </si>
  <si>
    <t>SBD00202</t>
  </si>
  <si>
    <t>Rifaximin</t>
  </si>
  <si>
    <t>Salix Pharmaceuticals Inc.</t>
  </si>
  <si>
    <t>SBD00203</t>
  </si>
  <si>
    <t>Antihemophilic Factor (Recombinant, B-Domain Truncated), turoctocog alfa</t>
  </si>
  <si>
    <t>SBD00204</t>
  </si>
  <si>
    <t>Idelalisib</t>
  </si>
  <si>
    <t>SBD00205</t>
  </si>
  <si>
    <t>Ceritinib</t>
  </si>
  <si>
    <t>SBD00206</t>
  </si>
  <si>
    <t>Blinatumomab</t>
  </si>
  <si>
    <t>SBD00207</t>
  </si>
  <si>
    <t>Sacubitril/valsartan (as sacubitril valsartan sodium hydrate complex)</t>
  </si>
  <si>
    <t>SBD00208</t>
  </si>
  <si>
    <t>Vedolizumab</t>
  </si>
  <si>
    <t>SBD00211</t>
  </si>
  <si>
    <t>Lenvatinib (as lenvatinib mesylate)</t>
  </si>
  <si>
    <t>SBD00209</t>
  </si>
  <si>
    <t>Antihemophilic Factor (Recombinant BDD), Fc Fusion Protein</t>
  </si>
  <si>
    <t>SBD00210</t>
  </si>
  <si>
    <t>Vismodegib</t>
  </si>
  <si>
    <t>SBD00212</t>
  </si>
  <si>
    <t>Pirfenidone</t>
  </si>
  <si>
    <t>InterMune International AG</t>
  </si>
  <si>
    <t>SBD00213</t>
  </si>
  <si>
    <t>Aflibercept</t>
  </si>
  <si>
    <t>SBD00214</t>
  </si>
  <si>
    <t>Deferiprone</t>
  </si>
  <si>
    <t>ApoPharma Inc.</t>
  </si>
  <si>
    <t>SBD00215</t>
  </si>
  <si>
    <t>Levomilnacipran (as levomilnacipran hydrochloride)</t>
  </si>
  <si>
    <t>Actavis Specialty Pharmaceuticals Co.</t>
  </si>
  <si>
    <t>SBD00216</t>
  </si>
  <si>
    <t>Ulipristal acetate</t>
  </si>
  <si>
    <t>Watson Laboratories Inc.</t>
  </si>
  <si>
    <t>SBD00217</t>
  </si>
  <si>
    <t>Icatibant acetate</t>
  </si>
  <si>
    <t>Shire Orphan Therapies Inc</t>
  </si>
  <si>
    <t>SBD00218</t>
  </si>
  <si>
    <t>Dapagliflozin, as dapagliflozin propanediol monohydrate</t>
  </si>
  <si>
    <t>SBD00219</t>
  </si>
  <si>
    <t>Perampanel</t>
  </si>
  <si>
    <t>SBD00220</t>
  </si>
  <si>
    <t>Simeprevir (as simeprevir sodium)</t>
  </si>
  <si>
    <t>SBD00221</t>
  </si>
  <si>
    <t>Recombinant human papillomavirus (Types 6, 11, 16, 18, 31, 33, 45, 52, 58) L1 protein</t>
  </si>
  <si>
    <t>SBD00222</t>
  </si>
  <si>
    <t>Obinutuzumab</t>
  </si>
  <si>
    <t>SBD00223</t>
  </si>
  <si>
    <t>Lomitapide mesylate</t>
  </si>
  <si>
    <t>Aegerion Pharmaceuticals (Canada) Ltd.</t>
  </si>
  <si>
    <t>SBD00224</t>
  </si>
  <si>
    <t>Trastuzumab emtansine</t>
  </si>
  <si>
    <t>SBD00225</t>
  </si>
  <si>
    <t>Ivacaftor</t>
  </si>
  <si>
    <t>SBD00226</t>
  </si>
  <si>
    <t>Pembrolizumab</t>
  </si>
  <si>
    <t>SBD00227</t>
  </si>
  <si>
    <t>Trametinib</t>
  </si>
  <si>
    <t>SBD00228</t>
  </si>
  <si>
    <t>Naloxegol (supplied as naloxegol oxalate)</t>
  </si>
  <si>
    <t>SBD00229</t>
  </si>
  <si>
    <t>Mirabegron</t>
  </si>
  <si>
    <t>SBD00230</t>
  </si>
  <si>
    <t>Ponatinib (supplied as ponatinib hydrochloride)</t>
  </si>
  <si>
    <t>ARIAD Pharmaceuticals, Inc</t>
  </si>
  <si>
    <t>SBD00251</t>
  </si>
  <si>
    <t>Galsulfase</t>
  </si>
  <si>
    <t>SBD00231</t>
  </si>
  <si>
    <t>Alogliptin (as alogliptin benzoate)</t>
  </si>
  <si>
    <t>SBD00232</t>
  </si>
  <si>
    <t>Rotigotine</t>
  </si>
  <si>
    <t>SBD00233</t>
  </si>
  <si>
    <t>Meningococcal polysaccharide groups A, C, W-135 and Y conjugate vaccine</t>
  </si>
  <si>
    <t>SBD00234</t>
  </si>
  <si>
    <t>Simoctocog alfa</t>
  </si>
  <si>
    <t>Octapharma Pharmazeutika Produktionsges.m.b.H.</t>
  </si>
  <si>
    <t>SBD00235</t>
  </si>
  <si>
    <t>Nintedanib</t>
  </si>
  <si>
    <t>Boehringer Ingelheim (Canada) Ltd. Ltee</t>
  </si>
  <si>
    <t>SBD00236</t>
  </si>
  <si>
    <t>Macitentan</t>
  </si>
  <si>
    <t>Actelion Pharmaceuticals Ltd.</t>
  </si>
  <si>
    <t>SBD00237</t>
  </si>
  <si>
    <t>Apremilast</t>
  </si>
  <si>
    <t>Celgene Inc.</t>
  </si>
  <si>
    <t>SBD00238</t>
  </si>
  <si>
    <t>Mifepristone; Misoprostol</t>
  </si>
  <si>
    <t>Linepharma International Limited</t>
  </si>
  <si>
    <t>SBD00239</t>
  </si>
  <si>
    <t>Antihemophilic Factor (Recombinant), Porcine Sequence</t>
  </si>
  <si>
    <t>Baxalta Canada Corporation</t>
  </si>
  <si>
    <t>SBD00240</t>
  </si>
  <si>
    <t>Peginterferon beta-1a</t>
  </si>
  <si>
    <t>Biogen Canada Inc.</t>
  </si>
  <si>
    <t>SBD00241</t>
  </si>
  <si>
    <t>Evolocumab</t>
  </si>
  <si>
    <t>SBD00242</t>
  </si>
  <si>
    <t>Tafluprost</t>
  </si>
  <si>
    <t>SBD00243</t>
  </si>
  <si>
    <t>Dulaglutide</t>
  </si>
  <si>
    <t>SBD00244</t>
  </si>
  <si>
    <t>Polidocanol</t>
  </si>
  <si>
    <t>Provensis Ltd.</t>
  </si>
  <si>
    <t>SBD00245</t>
  </si>
  <si>
    <t>Vilazodone hydrochloride</t>
  </si>
  <si>
    <t>SBD00246</t>
  </si>
  <si>
    <t>Ceftolozane and tazobactam</t>
  </si>
  <si>
    <t>SBD00247</t>
  </si>
  <si>
    <t>Afatinib (as afatinib dimaleate)</t>
  </si>
  <si>
    <t>SBD00248</t>
  </si>
  <si>
    <t>Ledipasvir, Sofosbuvir</t>
  </si>
  <si>
    <t>SBD00249</t>
  </si>
  <si>
    <t>12.5 mg Ombitasvir/75 mg Paritaprevir/50 mg Ritonavir</t>
  </si>
  <si>
    <t>AbbVie Corporation</t>
  </si>
  <si>
    <t>SBD00250</t>
  </si>
  <si>
    <t>Ibrutinib</t>
  </si>
  <si>
    <t>SBD00252</t>
  </si>
  <si>
    <t>Infliximab</t>
  </si>
  <si>
    <t>Celltrion Healthcare Co. Ltd.</t>
  </si>
  <si>
    <t>SBD00253</t>
  </si>
  <si>
    <t>Guanfacine (as guanfacine hydrochloride)</t>
  </si>
  <si>
    <t>Shire Canada Inc.</t>
  </si>
  <si>
    <t>SBD00254</t>
  </si>
  <si>
    <t>Canagliflozin</t>
  </si>
  <si>
    <t>SBD00255</t>
  </si>
  <si>
    <t>Romidepsin</t>
  </si>
  <si>
    <t>SBD00256</t>
  </si>
  <si>
    <t>Empagliflozin</t>
  </si>
  <si>
    <t>SBD00257</t>
  </si>
  <si>
    <t>Ocriplasmin</t>
  </si>
  <si>
    <t>SBD00258</t>
  </si>
  <si>
    <t>Efinaconazole</t>
  </si>
  <si>
    <t>Valeant Canada LP</t>
  </si>
  <si>
    <t>SBD00259</t>
  </si>
  <si>
    <t>Pertuzumab</t>
  </si>
  <si>
    <t>SBD00260</t>
  </si>
  <si>
    <t>Sodium phenylbutyrate</t>
  </si>
  <si>
    <t>Médunik Canada</t>
  </si>
  <si>
    <t>SBD00261</t>
  </si>
  <si>
    <t>Ingenol mebutate</t>
  </si>
  <si>
    <t>LEO Pharma Inc.</t>
  </si>
  <si>
    <t>SBD00262</t>
  </si>
  <si>
    <t>Pomalidomide</t>
  </si>
  <si>
    <t>SBD00263</t>
  </si>
  <si>
    <t>Ezogabine</t>
  </si>
  <si>
    <t>SBD00264</t>
  </si>
  <si>
    <t>Bromfenac sodium sesquihydrate</t>
  </si>
  <si>
    <t>SBD00265</t>
  </si>
  <si>
    <t>Teduglutide</t>
  </si>
  <si>
    <t>NPS Pharma Holdings Limited</t>
  </si>
  <si>
    <t>SBD00267</t>
  </si>
  <si>
    <t>Ivermectin</t>
  </si>
  <si>
    <t>SBD00268</t>
  </si>
  <si>
    <t>Pasireotide (as pasireotide diaspartate)</t>
  </si>
  <si>
    <t>SBD00269</t>
  </si>
  <si>
    <t>Umeclidinium bromide and vilanterol trifenatate</t>
  </si>
  <si>
    <t>SBD00270</t>
  </si>
  <si>
    <t>Eslicarbazepine acetate</t>
  </si>
  <si>
    <t>SBD00271</t>
  </si>
  <si>
    <t>Ofatumumab</t>
  </si>
  <si>
    <t>SBD00273</t>
  </si>
  <si>
    <t>Solifenacin succinate</t>
  </si>
  <si>
    <t>SBD00300</t>
  </si>
  <si>
    <t>Teriflunomide</t>
  </si>
  <si>
    <t>Genzyme Canada, a division of Sanofi-Aventis Canada Inc.</t>
  </si>
  <si>
    <t>SBD00274</t>
  </si>
  <si>
    <t>Recombinant &lt;em&gt;Neisseria meningitidis&lt;/em&gt; serogroup&amp;nbsp;B Neisseria Heparin Binding Antigen fusion protein&lt;br /&gt;Recombinant &lt;em&gt;Neisseria meningitidis&lt;/em&gt; serogroup&amp;nbsp;B Neisserial Adhesin&amp;nbsp;A protein&lt;br /&gt;Recombinant &lt;em&gt;Neisseria meningitidis&lt;/em&gt; serogroup&amp;nbsp;B factor H binding protein fusion protein&lt;br /&gt;&lt;em&gt;Neisseria&lt;/em&gt; &lt;em&gt;meningitidis&lt;/em&gt; serogroup&amp;nbsp;B Outer Membrane Vesicles</t>
  </si>
  <si>
    <t>Novartis Vaccines and Diagnostics, Inc.</t>
  </si>
  <si>
    <t>SBD00275</t>
  </si>
  <si>
    <t>Filgrastim</t>
  </si>
  <si>
    <t>Apotex Inc.</t>
  </si>
  <si>
    <t>SBD00276</t>
  </si>
  <si>
    <t>Alirocumab</t>
  </si>
  <si>
    <t>Sanofi-aventis Canada Inc.</t>
  </si>
  <si>
    <t>SBD00277</t>
  </si>
  <si>
    <t>Cobimetinib</t>
  </si>
  <si>
    <t>SBD00278</t>
  </si>
  <si>
    <t>Mepolizumab</t>
  </si>
  <si>
    <t>SBD00279</t>
  </si>
  <si>
    <t>Telavancin hydrochloride</t>
  </si>
  <si>
    <t>Astellas Pharma Canada, Inc.</t>
  </si>
  <si>
    <t>SBD00301</t>
  </si>
  <si>
    <t>AS03-Adjuvanted H5N1 Influenza Vaccine</t>
  </si>
  <si>
    <t>ID Biomedical Corporation of Quebec</t>
  </si>
  <si>
    <t>SBD00280</t>
  </si>
  <si>
    <t>Insulin glargine</t>
  </si>
  <si>
    <t>SBD00281</t>
  </si>
  <si>
    <t>Liraglutide</t>
  </si>
  <si>
    <t>SBD00302</t>
  </si>
  <si>
    <t>Bilastine</t>
  </si>
  <si>
    <t>Aralez Pharamaceuticals Trading DAC</t>
  </si>
  <si>
    <t>SBD00282</t>
  </si>
  <si>
    <t>Sugammadex sodium</t>
  </si>
  <si>
    <t>SBD00283</t>
  </si>
  <si>
    <t>Brivaracetam</t>
  </si>
  <si>
    <t>SBD00284</t>
  </si>
  <si>
    <t>Albiglutide</t>
  </si>
  <si>
    <t>SBD00285</t>
  </si>
  <si>
    <t>elvitegravir&lt;br /&gt;cobicistat&lt;br /&gt;emtricitabine&lt;br /&gt;tenofovir alafenamide (as 11.2 mg tenofovir alafenamide hemifumarate)</t>
  </si>
  <si>
    <t>SBD00286</t>
  </si>
  <si>
    <t>Palbociclib</t>
  </si>
  <si>
    <t>SBD00287</t>
  </si>
  <si>
    <t>Coagulation Factor IX (Recombinant), Albumin Fusion Protein (rIX-FP)</t>
  </si>
  <si>
    <t>SBD00288</t>
  </si>
  <si>
    <t>Carfilzomib</t>
  </si>
  <si>
    <t>SBD00290</t>
  </si>
  <si>
    <t>Olaparib</t>
  </si>
  <si>
    <t>SBD00292</t>
  </si>
  <si>
    <t>Nivolumab</t>
  </si>
  <si>
    <t>SBD00293</t>
  </si>
  <si>
    <t>Lumacaftor and ivacaftor</t>
  </si>
  <si>
    <t>SBD00294</t>
  </si>
  <si>
    <t>Ambrisentan</t>
  </si>
  <si>
    <t>SBD00307</t>
  </si>
  <si>
    <t>Glycerol phenylbutyrate</t>
  </si>
  <si>
    <t>Horizon Pharma Ireland Ltd.</t>
  </si>
  <si>
    <t>SBD00296</t>
  </si>
  <si>
    <t>Asunaprevir</t>
  </si>
  <si>
    <t>SBD00297</t>
  </si>
  <si>
    <t>Bortezomib mannitol boronic ester</t>
  </si>
  <si>
    <t>SBD00299</t>
  </si>
  <si>
    <t>Boceprevir</t>
  </si>
  <si>
    <t>SBD00303</t>
  </si>
  <si>
    <t>Azacitidine</t>
  </si>
  <si>
    <t>SBD00304</t>
  </si>
  <si>
    <t>Lacosamide</t>
  </si>
  <si>
    <t>SBD00305</t>
  </si>
  <si>
    <t>Dienogest</t>
  </si>
  <si>
    <t>SBD00306</t>
  </si>
  <si>
    <t>Diclofenac diethylamine</t>
  </si>
  <si>
    <t>Novartis Consumer Health Canada Inc.</t>
  </si>
  <si>
    <t>SBD00308</t>
  </si>
  <si>
    <t>Pazopanib hydrochloride</t>
  </si>
  <si>
    <t>SBD00309</t>
  </si>
  <si>
    <t>Velaglucerase alfa</t>
  </si>
  <si>
    <t>SBD00310</t>
  </si>
  <si>
    <t>Lisdexamfetamine dimesylate</t>
  </si>
  <si>
    <t>SBD00311</t>
  </si>
  <si>
    <t>Crizotinib</t>
  </si>
  <si>
    <t>SBD00312</t>
  </si>
  <si>
    <t>Rivaroxaban</t>
  </si>
  <si>
    <t>SBD00313</t>
  </si>
  <si>
    <t>Finafloxacin</t>
  </si>
  <si>
    <t>SBD00314</t>
  </si>
  <si>
    <t>Sodium oxybate</t>
  </si>
  <si>
    <t>Orphan Medical, Inc.</t>
  </si>
  <si>
    <t>SBD00315</t>
  </si>
  <si>
    <t>Ipilimumab</t>
  </si>
  <si>
    <t>SBD00316</t>
  </si>
  <si>
    <t>Trabectedin</t>
  </si>
  <si>
    <t>SBD00317</t>
  </si>
  <si>
    <t>Elbasvir and grazoprevir</t>
  </si>
  <si>
    <t>Merck Canada Inc.</t>
  </si>
  <si>
    <t>SBD00318</t>
  </si>
  <si>
    <t>Vorapaxar sulfate</t>
  </si>
  <si>
    <t>SBD00319</t>
  </si>
  <si>
    <t>Daratumumab</t>
  </si>
  <si>
    <t>SBD00321</t>
  </si>
  <si>
    <t>Idarucizumab</t>
  </si>
  <si>
    <t>Boehringer Ingelheim (Canada) Ltd</t>
  </si>
  <si>
    <t>SBD00322</t>
  </si>
  <si>
    <t>Elotuzumab</t>
  </si>
  <si>
    <t>SBD00323</t>
  </si>
  <si>
    <t>Bepotastine besilate</t>
  </si>
  <si>
    <t>Bausch &amp; Lomb Inc.</t>
  </si>
  <si>
    <t>SBD00324</t>
  </si>
  <si>
    <t>Selexipag</t>
  </si>
  <si>
    <t>Actelion Pharmaceuticals Ltd</t>
  </si>
  <si>
    <t>SBD00326</t>
  </si>
  <si>
    <t>Propiverine hydrochloride</t>
  </si>
  <si>
    <t>Duchesnay Inc.</t>
  </si>
  <si>
    <t>SBD00350</t>
  </si>
  <si>
    <t>Ixekizumab</t>
  </si>
  <si>
    <t>SBD00327</t>
  </si>
  <si>
    <t>Osimertinib, as osimertinib mesylate</t>
  </si>
  <si>
    <t>SBD00328</t>
  </si>
  <si>
    <t>Antihemophilic Factor VIII (Recombinant), SingleChain</t>
  </si>
  <si>
    <t>SBD00343</t>
  </si>
  <si>
    <t>Sofosbuvir&lt;br /&gt;Velpatasvir</t>
  </si>
  <si>
    <t>SBD00329</t>
  </si>
  <si>
    <t>SBD00330</t>
  </si>
  <si>
    <t>Reslizumab</t>
  </si>
  <si>
    <t>Teva Canada Limited</t>
  </si>
  <si>
    <t>SBD00331</t>
  </si>
  <si>
    <t>Alectinib (as alectinib hydrochloride)</t>
  </si>
  <si>
    <t>Hoffmann-La Roche Limited</t>
  </si>
  <si>
    <t>SBD00332</t>
  </si>
  <si>
    <t>Etanercept</t>
  </si>
  <si>
    <t>Samsung Bioepis Co., Ltd.</t>
  </si>
  <si>
    <t>SBD00333</t>
  </si>
  <si>
    <t>Ixazomib (as ixazomib citrate)</t>
  </si>
  <si>
    <t>Takeda Canada Incorporated</t>
  </si>
  <si>
    <t>SBD00334</t>
  </si>
  <si>
    <t>Rupatadine (as rupatadine fumerate)</t>
  </si>
  <si>
    <t>Pediapharm Inc.</t>
  </si>
  <si>
    <t>SBD00335</t>
  </si>
  <si>
    <t>Nitisinone</t>
  </si>
  <si>
    <t>MendeliKABS Inc.</t>
  </si>
  <si>
    <t>SBD00336</t>
  </si>
  <si>
    <t>Lubiprostone</t>
  </si>
  <si>
    <t>Sucampo Pharma Americas, LLC</t>
  </si>
  <si>
    <t>SBD00337</t>
  </si>
  <si>
    <t>Edoxaban (supplied as edoxaban tosylate)</t>
  </si>
  <si>
    <t>Daiichi Sankyo, Inc.</t>
  </si>
  <si>
    <t>SBD00338</t>
  </si>
  <si>
    <t>Venetoclax</t>
  </si>
  <si>
    <t>SBD00339</t>
  </si>
  <si>
    <t>Antihemophilic Factor VIII (Recombinant), PEGylated</t>
  </si>
  <si>
    <t>SBD00340</t>
  </si>
  <si>
    <t>Gadoterate meglumine</t>
  </si>
  <si>
    <t>Guerbet</t>
  </si>
  <si>
    <t>SBD00341</t>
  </si>
  <si>
    <t>Daclizumab beta</t>
  </si>
  <si>
    <t>SBD00342</t>
  </si>
  <si>
    <t>Swedish Orphan Biovitrum AB (publ)</t>
  </si>
  <si>
    <t>SBD00344</t>
  </si>
  <si>
    <t>Cycle Pharmaceuticals Ltd.</t>
  </si>
  <si>
    <t>SBD00345</t>
  </si>
  <si>
    <t>Eluxadoline</t>
  </si>
  <si>
    <t>Allergan Pharma Co.</t>
  </si>
  <si>
    <t>SBD00346</t>
  </si>
  <si>
    <t>Sarilumab</t>
  </si>
  <si>
    <t>SBD00347</t>
  </si>
  <si>
    <t>Ivabradine hydrochloride</t>
  </si>
  <si>
    <t>SBD00348</t>
  </si>
  <si>
    <t>Peramivir</t>
  </si>
  <si>
    <t>BioCryst Pharmaceuticals Inc.</t>
  </si>
  <si>
    <t>SBD00349</t>
  </si>
  <si>
    <t>Botulism antitoxin heptavalent (A, B, C, D, E, F, G) - (equine)</t>
  </si>
  <si>
    <t>Cangene Corporation</t>
  </si>
  <si>
    <t>SBD00351</t>
  </si>
  <si>
    <t>Florbetaben &lt;sup&gt;18&lt;/sup&gt;F</t>
  </si>
  <si>
    <t>IsoLogic Innovative Radiopharmaceuticals Ltd.</t>
  </si>
  <si>
    <t>SBD00352</t>
  </si>
  <si>
    <t>Brexpiprazole</t>
  </si>
  <si>
    <t>Otsuka Pharmaceutical Co., Ltd.</t>
  </si>
  <si>
    <t>SBD00353</t>
  </si>
  <si>
    <t>Necitumumab</t>
  </si>
  <si>
    <t>SBD00354</t>
  </si>
  <si>
    <t>Vernakalant hydrochloride</t>
  </si>
  <si>
    <t>Cardiome UK Limited</t>
  </si>
  <si>
    <t>SBD00355</t>
  </si>
  <si>
    <t>Atezolizumab</t>
  </si>
  <si>
    <t>SBD00356</t>
  </si>
  <si>
    <t>Obeticholic acid</t>
  </si>
  <si>
    <t>Intercept Pharmaceuticals Inc.</t>
  </si>
  <si>
    <t>SBD00357</t>
  </si>
  <si>
    <t>Ozenoxacin</t>
  </si>
  <si>
    <t>Ferrer Internacional, S.A.</t>
  </si>
  <si>
    <t>SBD00358</t>
  </si>
  <si>
    <t>Eliglustat</t>
  </si>
  <si>
    <t>Sanofi Genzyme, a division of sanofi-aventis Canada Inc.</t>
  </si>
  <si>
    <t>SBD00359</t>
  </si>
  <si>
    <t>Sandoz Canada Incorporated</t>
  </si>
  <si>
    <t>SBD00360</t>
  </si>
  <si>
    <t>Nusinersen (supplied as nusinersen sodium)</t>
  </si>
  <si>
    <t>Biogen Canada Incorporated</t>
  </si>
  <si>
    <t>SBD00361</t>
  </si>
  <si>
    <t>Cysteamine (as cysteamine bitartrate, also called mercaptamine bitartrate)</t>
  </si>
  <si>
    <t>SBD00362</t>
  </si>
  <si>
    <t>Lixisenatide</t>
  </si>
  <si>
    <t>Sanofi-Aventis Canada Inc.</t>
  </si>
  <si>
    <t>SBD00363</t>
  </si>
  <si>
    <t>Defibrotide (defibrotide sodium)</t>
  </si>
  <si>
    <t>Jazz Pharmaceuticals Ireland Limited</t>
  </si>
  <si>
    <t>SBD00364</t>
  </si>
  <si>
    <t>Midostaurin</t>
  </si>
  <si>
    <t>SBD00365</t>
  </si>
  <si>
    <t>Ocrelizumab</t>
  </si>
  <si>
    <t>SBD00366</t>
  </si>
  <si>
    <t>Vosevi</t>
  </si>
  <si>
    <t>SBD00367</t>
  </si>
  <si>
    <t>Trumenba</t>
  </si>
  <si>
    <t>SBD00368</t>
  </si>
  <si>
    <t>Tresiba</t>
  </si>
  <si>
    <t>SBD00369</t>
  </si>
  <si>
    <t>Glecaprevir/pibrentasvir</t>
  </si>
  <si>
    <t>SBD00371</t>
  </si>
  <si>
    <t>Migalastat</t>
  </si>
  <si>
    <t>Amicus Therapeutics UK Ltd.</t>
  </si>
  <si>
    <t>SBD00372</t>
  </si>
  <si>
    <t>Letermovir,Letermovir</t>
  </si>
  <si>
    <t>SBD00373</t>
  </si>
  <si>
    <t>Insulin lispro</t>
  </si>
  <si>
    <t>SBD00374</t>
  </si>
  <si>
    <t>Netupitant/Palonosetron (supplied as palonosetron hydrochloride)</t>
  </si>
  <si>
    <t>Purdue Pharma</t>
  </si>
  <si>
    <t>SBD00375</t>
  </si>
  <si>
    <t>Anthrax immune globulin (human)</t>
  </si>
  <si>
    <t>Emergent BioSolutions Canada Inc.</t>
  </si>
  <si>
    <t>SBD00376</t>
  </si>
  <si>
    <t>Varicella Zoster Virus (VZV) glycoprotein E (gE)</t>
  </si>
  <si>
    <t>SBD00377</t>
  </si>
  <si>
    <t>Coagulation Factor IX (Recombinant), Pegylated</t>
  </si>
  <si>
    <t>SBD00378</t>
  </si>
  <si>
    <t>SBD00379</t>
  </si>
  <si>
    <t>Iron (as sucroferric oxyhydroxide)</t>
  </si>
  <si>
    <t>Vifor Fresenius Medical Care Renal Pharma Ltd.</t>
  </si>
  <si>
    <t>SBD00386</t>
  </si>
  <si>
    <t>Olaratumab</t>
  </si>
  <si>
    <t>SBD00380</t>
  </si>
  <si>
    <t>Dupilumab</t>
  </si>
  <si>
    <t>SBD00381</t>
  </si>
  <si>
    <t>Sebelipase alfa</t>
  </si>
  <si>
    <t>Alexion Pharma GmbH</t>
  </si>
  <si>
    <t>SBD00382</t>
  </si>
  <si>
    <t>Lifitegrast</t>
  </si>
  <si>
    <t>Shire Pharma Canada ULC</t>
  </si>
  <si>
    <t>SBD00383</t>
  </si>
  <si>
    <t>Durvalumab</t>
  </si>
  <si>
    <t>SBD00384</t>
  </si>
  <si>
    <t>Avelumab</t>
  </si>
  <si>
    <t>EMD Serono</t>
  </si>
  <si>
    <t>SBD00385</t>
  </si>
  <si>
    <t>Guselkumab</t>
  </si>
  <si>
    <t>SBD00387</t>
  </si>
  <si>
    <t>Semaglutide</t>
  </si>
  <si>
    <t>SBD00388</t>
  </si>
  <si>
    <t>Trifluridine and tipiracil (supplied as tipiracil hydrochloride),Trifluridine and tipiracil (supplied as tipiracil hydrochloride)</t>
  </si>
  <si>
    <t>Taiho Pharma Canada, Inc.</t>
  </si>
  <si>
    <t>SBD00389</t>
  </si>
  <si>
    <t>Benralizumab</t>
  </si>
  <si>
    <t>SBD00390</t>
  </si>
  <si>
    <t>&lt;sup&gt;123&lt;/sup&gt;I-Ioflupane</t>
  </si>
  <si>
    <t>GE Healthcare Canada Inc.</t>
  </si>
  <si>
    <t>SBD00391</t>
  </si>
  <si>
    <t>Flibanserin</t>
  </si>
  <si>
    <t>Sprout Pharmaceuticals, Inc.</t>
  </si>
  <si>
    <t>SBD00392</t>
  </si>
  <si>
    <t>Ribociclib</t>
  </si>
  <si>
    <t>SBD00395</t>
  </si>
  <si>
    <t>Follitropin delta</t>
  </si>
  <si>
    <t>Ferring Inc.</t>
  </si>
  <si>
    <t>SBD00393</t>
  </si>
  <si>
    <t>Brodalumab</t>
  </si>
  <si>
    <t>SBD00394</t>
  </si>
  <si>
    <t>Pegfilgrastim</t>
  </si>
  <si>
    <t>SBD00396</t>
  </si>
  <si>
    <t>Buprenorphine hydrochloride</t>
  </si>
  <si>
    <t>Knight Therapeutics Inc.</t>
  </si>
  <si>
    <t>SBD00397</t>
  </si>
  <si>
    <t>Adalimumab</t>
  </si>
  <si>
    <t>SBD00398</t>
  </si>
  <si>
    <t>Inotuzumab ozogamicin</t>
  </si>
  <si>
    <t>SBD00399</t>
  </si>
  <si>
    <t>Apalutamide</t>
  </si>
  <si>
    <t>SBD00400</t>
  </si>
  <si>
    <t>Tezacaftor/ivacaftor and ivacaftor</t>
  </si>
  <si>
    <t>Vertex Pharmaceuticals Incorporated</t>
  </si>
  <si>
    <t>SBD00402</t>
  </si>
  <si>
    <t>Ertugliflozin</t>
  </si>
  <si>
    <t>SBD00403</t>
  </si>
  <si>
    <t>SBD00404</t>
  </si>
  <si>
    <t>Bictegravir&lt;br/&gt;emtricitabine&lt;br/&gt;tenofovir alafenamide</t>
  </si>
  <si>
    <t>SBD00405</t>
  </si>
  <si>
    <t>Crisaborole</t>
  </si>
  <si>
    <t>SBD00406</t>
  </si>
  <si>
    <t>Hemin</t>
  </si>
  <si>
    <t>Recordati Rare Diseases Canada Inc.</t>
  </si>
  <si>
    <t>SBD00407</t>
  </si>
  <si>
    <t>Iron (iron isomaltoside 1000)</t>
  </si>
  <si>
    <t>Pharmacosmos A/S</t>
  </si>
  <si>
    <t>SBD00408</t>
  </si>
  <si>
    <t>Calcifediol</t>
  </si>
  <si>
    <t>SBD00409</t>
  </si>
  <si>
    <t>Baricitinib</t>
  </si>
  <si>
    <t>SBD00410</t>
  </si>
  <si>
    <t>Emicizumab</t>
  </si>
  <si>
    <t>SBD00411</t>
  </si>
  <si>
    <t>Erenumab</t>
  </si>
  <si>
    <t>SBD00412</t>
  </si>
  <si>
    <t>Dalbavancin (as dalbavancin hydrochloride)</t>
  </si>
  <si>
    <t>Cipher Pharmaceuticals Inc.</t>
  </si>
  <si>
    <t>SBD00413</t>
  </si>
  <si>
    <t>Telotristat ethyl (supplied as telotristat etiprate)</t>
  </si>
  <si>
    <t>Ipsen Biopharmaceuticals Canada Inc.</t>
  </si>
  <si>
    <t>SBD00414</t>
  </si>
  <si>
    <t>Brigatinib</t>
  </si>
  <si>
    <t>SBD00415</t>
  </si>
  <si>
    <t>Tisagenlecleucel</t>
  </si>
  <si>
    <t>SBD00416</t>
  </si>
  <si>
    <t>Edaravone</t>
  </si>
  <si>
    <t>Mitsubishi Tanabe Pharma Corporation</t>
  </si>
  <si>
    <t>SBD00417</t>
  </si>
  <si>
    <t>Patiromer (supplied as patiromer sorbitex calcium)</t>
  </si>
  <si>
    <t>SBD00418</t>
  </si>
  <si>
    <t>Cabozantinib</t>
  </si>
  <si>
    <t>SBD00419</t>
  </si>
  <si>
    <t>Lanadelumab</t>
  </si>
  <si>
    <t>SBD00420</t>
  </si>
  <si>
    <t>Doravirine</t>
  </si>
  <si>
    <t>SBD00421</t>
  </si>
  <si>
    <t>Inotersen (supplied as inotersen sodium)</t>
  </si>
  <si>
    <t>Akcea Therapeutics, Inc.</t>
  </si>
  <si>
    <t>SBD00422</t>
  </si>
  <si>
    <t>Antihemophilic factor (recombinant, B-domain deleted, PEGylated)</t>
  </si>
  <si>
    <t>SBD00423</t>
  </si>
  <si>
    <t>Isavuconazole (as isavuconazonium sulfate)</t>
  </si>
  <si>
    <t>AVIR Pharma Inc.</t>
  </si>
  <si>
    <t>SBD00424</t>
  </si>
  <si>
    <t>Latanoprostene bunod</t>
  </si>
  <si>
    <t>SBD00425</t>
  </si>
  <si>
    <t>Anthrax antigen filtrate</t>
  </si>
  <si>
    <t>Emergent BioDefense Operations Lansing LLC</t>
  </si>
  <si>
    <t>SBD00435</t>
  </si>
  <si>
    <t>Elagolix</t>
  </si>
  <si>
    <t>SBD00426</t>
  </si>
  <si>
    <t>Pralatrexate</t>
  </si>
  <si>
    <t>SBD00427</t>
  </si>
  <si>
    <t>Lorbrena</t>
  </si>
  <si>
    <t>Pfizer Canada ULC</t>
  </si>
  <si>
    <t>SBD00438</t>
  </si>
  <si>
    <t>Dinutuximab</t>
  </si>
  <si>
    <t>United Therapeutics Corporation</t>
  </si>
  <si>
    <t>SBD00428</t>
  </si>
  <si>
    <t>Burosumab</t>
  </si>
  <si>
    <t>Kyowa Kirin Limited</t>
  </si>
  <si>
    <t>SBD00429</t>
  </si>
  <si>
    <t>Teriparatide</t>
  </si>
  <si>
    <t>SBD00470</t>
  </si>
  <si>
    <t>Cerliponase alfa</t>
  </si>
  <si>
    <t>SBD00430</t>
  </si>
  <si>
    <t>Suvorexant</t>
  </si>
  <si>
    <t>SBD00431</t>
  </si>
  <si>
    <t>BGP Pharma ULC</t>
  </si>
  <si>
    <t>SBD00432</t>
  </si>
  <si>
    <t>Lutetium (&lt;sup&gt;177&lt;/sup&gt;Lu) oxodotreotide</t>
  </si>
  <si>
    <t>Advanced Accelerator Applications USA, Inc.</t>
  </si>
  <si>
    <t>SBD00433</t>
  </si>
  <si>
    <t>von Willebrand factor (Recombinant)</t>
  </si>
  <si>
    <t>SBD00434</t>
  </si>
  <si>
    <t>Decitabine</t>
  </si>
  <si>
    <t>Pendopharm, Division of Pharmascience Inc.</t>
  </si>
  <si>
    <t>SBD00436</t>
  </si>
  <si>
    <t>Onstryv</t>
  </si>
  <si>
    <t>Valeo Pharma Inc.</t>
  </si>
  <si>
    <t>SBD00437</t>
  </si>
  <si>
    <t>Cenegermin</t>
  </si>
  <si>
    <t>Dompé farmaceutici S.p.A.</t>
  </si>
  <si>
    <t>SBD00439</t>
  </si>
  <si>
    <t>Rituximab,Rituximab</t>
  </si>
  <si>
    <t>SBD00440</t>
  </si>
  <si>
    <t>Enasidenib (supplied as enasidenib mesylate)</t>
  </si>
  <si>
    <t>SBD00441</t>
  </si>
  <si>
    <t>Axicabtagene ciloleucel</t>
  </si>
  <si>
    <t>SBD00442</t>
  </si>
  <si>
    <t>Cemiplimab,Cemiplimab</t>
  </si>
  <si>
    <t>SBD00443</t>
  </si>
  <si>
    <t>Risankizumab</t>
  </si>
  <si>
    <t>SBD00444</t>
  </si>
  <si>
    <t>Abemaciclib</t>
  </si>
  <si>
    <t>SBD00445</t>
  </si>
  <si>
    <t>Patisiran (supplied as patisiran sodium)</t>
  </si>
  <si>
    <t>Alnylam Pharmaceuticals</t>
  </si>
  <si>
    <t>SBD00446</t>
  </si>
  <si>
    <t>Dacomitinib (supplied as dacomitinib monohydrate)</t>
  </si>
  <si>
    <t>SBD00447</t>
  </si>
  <si>
    <t>Trastuzumab</t>
  </si>
  <si>
    <t>SBD00448</t>
  </si>
  <si>
    <t>SBD00449</t>
  </si>
  <si>
    <t>Niraparib</t>
  </si>
  <si>
    <t>GlaxoSmithKline Inc.</t>
  </si>
  <si>
    <t>SBD00450</t>
  </si>
  <si>
    <t>Romosozumab</t>
  </si>
  <si>
    <t>Amgen Canada Incorporated</t>
  </si>
  <si>
    <t>SBD00451</t>
  </si>
  <si>
    <t>SBD00452</t>
  </si>
  <si>
    <t>Antihemophilic factor VIII (recombinant, B-domain truncated), PEGylated</t>
  </si>
  <si>
    <t>SBD00453</t>
  </si>
  <si>
    <t>Galcanezumab</t>
  </si>
  <si>
    <t>SBD00454</t>
  </si>
  <si>
    <t>Larotrectinib (supplied as larotrectinib sulfate)</t>
  </si>
  <si>
    <t>SBD00455</t>
  </si>
  <si>
    <t>Tibolone</t>
  </si>
  <si>
    <t>Biosyent Pharma Inc.</t>
  </si>
  <si>
    <t>SBD00456</t>
  </si>
  <si>
    <t>Acalabrutinib</t>
  </si>
  <si>
    <t>SBD00457</t>
  </si>
  <si>
    <t>Talazoparib (supplied as talazoparib tosylate)</t>
  </si>
  <si>
    <t>SBD00458</t>
  </si>
  <si>
    <t>Erdafitinib</t>
  </si>
  <si>
    <t>SBD00459</t>
  </si>
  <si>
    <t>Plecanatide</t>
  </si>
  <si>
    <t>SBD00460</t>
  </si>
  <si>
    <t>Neratinib maleate</t>
  </si>
  <si>
    <t>Puma Biotechnology Inc.</t>
  </si>
  <si>
    <t>SBD00461</t>
  </si>
  <si>
    <t>SBD00462</t>
  </si>
  <si>
    <t>Ravulizumab</t>
  </si>
  <si>
    <t>Alexion Pharma Canada</t>
  </si>
  <si>
    <t>SBD00463</t>
  </si>
  <si>
    <t>Glasdegib (supplied as glasdegib maleate)</t>
  </si>
  <si>
    <t>SBD00483</t>
  </si>
  <si>
    <t>Trifarotene</t>
  </si>
  <si>
    <t>SBD00464</t>
  </si>
  <si>
    <t>Gallium &lt;sup&gt;68&lt;/sup&gt;Ga chloride generator</t>
  </si>
  <si>
    <t>IRE ELiT S.A.</t>
  </si>
  <si>
    <t>SBD00465</t>
  </si>
  <si>
    <t>Prasterone</t>
  </si>
  <si>
    <t>Endoceutics, Inc.</t>
  </si>
  <si>
    <t>SBD00466</t>
  </si>
  <si>
    <t>Oxodotreotide</t>
  </si>
  <si>
    <t>SBD00467</t>
  </si>
  <si>
    <t>Sodium zirconium cyclosilicate</t>
  </si>
  <si>
    <t>SBD00468</t>
  </si>
  <si>
    <t>Gilteritinib</t>
  </si>
  <si>
    <t>SBD00469</t>
  </si>
  <si>
    <t>Siponimod</t>
  </si>
  <si>
    <t>SBD00471</t>
  </si>
  <si>
    <t>Icosapent ethyl</t>
  </si>
  <si>
    <t>HLS Therapeutics Inc.</t>
  </si>
  <si>
    <t>SBD00472</t>
  </si>
  <si>
    <t>Celltrion Healthcare Co., Ltd</t>
  </si>
  <si>
    <t>SBD00473</t>
  </si>
  <si>
    <t>Upadacitinib</t>
  </si>
  <si>
    <t>SBD00474</t>
  </si>
  <si>
    <t>Baloxavir marboxil</t>
  </si>
  <si>
    <t>SBD00475</t>
  </si>
  <si>
    <t>Tafamidis meglumine</t>
  </si>
  <si>
    <t>SBD00476</t>
  </si>
  <si>
    <t>Caplacizumab</t>
  </si>
  <si>
    <t>SBD00477</t>
  </si>
  <si>
    <t>SBD00478</t>
  </si>
  <si>
    <t>Fremanezumab</t>
  </si>
  <si>
    <t>SBD00479</t>
  </si>
  <si>
    <t>SBD00480</t>
  </si>
  <si>
    <t>Cabotegravir&lt;br /&gt;Cabotegravir and rilpivirine</t>
  </si>
  <si>
    <t>ViiV&amp;nbsp;Healthcare&amp;nbsp;ULC</t>
  </si>
  <si>
    <t>SBD00481</t>
  </si>
  <si>
    <t>Darolutamide</t>
  </si>
  <si>
    <t>SBD00482</t>
  </si>
  <si>
    <t>Gemtuzumab ozogamicin</t>
  </si>
  <si>
    <t>SBD00484</t>
  </si>
  <si>
    <t>Entrectinib</t>
  </si>
  <si>
    <t>SBD00485</t>
  </si>
  <si>
    <t>SBD00486</t>
  </si>
  <si>
    <t>Rituximab</t>
  </si>
  <si>
    <t>SBD00487</t>
  </si>
  <si>
    <t>Polatuzumab vedotin</t>
  </si>
  <si>
    <t>Hoffmann&amp;#8209;La&amp;nbsp;Roche Limited</t>
  </si>
  <si>
    <t>SBD00499</t>
  </si>
  <si>
    <t>Sandoz Canada&amp;nbsp;Inc.</t>
  </si>
  <si>
    <t>SBD00488</t>
  </si>
  <si>
    <t>Brolucizumab</t>
  </si>
  <si>
    <t>SBD00489</t>
  </si>
  <si>
    <t>Sonidegib (supplied as sonidegib phosphate)</t>
  </si>
  <si>
    <t>Sun Pharma Global FZE</t>
  </si>
  <si>
    <t>SBD00490</t>
  </si>
  <si>
    <t>Remdesivir</t>
  </si>
  <si>
    <t>SBD00491</t>
  </si>
  <si>
    <t>Tenapanor (supplied as tenapanor hydrochloride)</t>
  </si>
  <si>
    <t>SBD00492</t>
  </si>
  <si>
    <t>Alpelisib</t>
  </si>
  <si>
    <t>SBD00493</t>
  </si>
  <si>
    <t>SBD00494</t>
  </si>
  <si>
    <t>Satralizumab</t>
  </si>
  <si>
    <t>SBD00495</t>
  </si>
  <si>
    <t>Decitabine and cedazuridine</t>
  </si>
  <si>
    <t>SBD00496</t>
  </si>
  <si>
    <t>Ripretinib</t>
  </si>
  <si>
    <t>Deciphera Pharmaceuticals, LLC</t>
  </si>
  <si>
    <t>SBD00497</t>
  </si>
  <si>
    <t>Tucatinib</t>
  </si>
  <si>
    <t>Seattle Genetics Inc</t>
  </si>
  <si>
    <t>SBD00498</t>
  </si>
  <si>
    <t>Etomidate</t>
  </si>
  <si>
    <t>SteriMax Inc.</t>
  </si>
  <si>
    <t>SBD00500</t>
  </si>
  <si>
    <t>Amifampridine</t>
  </si>
  <si>
    <t>Medunik Canada</t>
  </si>
  <si>
    <t>SBD00501</t>
  </si>
  <si>
    <t>Fedratinib (supplied as fedratinib hydrochloride)</t>
  </si>
  <si>
    <t>SBD00502</t>
  </si>
  <si>
    <t>Amifampridine (supplied as amifampridine phosphate)</t>
  </si>
  <si>
    <t>Catalyst Pharmaceuticals Inc.</t>
  </si>
  <si>
    <t>SBD00503</t>
  </si>
  <si>
    <t>Lefamulin (supplied as lefamulin acetate)</t>
  </si>
  <si>
    <t>SBD00504</t>
  </si>
  <si>
    <t>Trientine hydrochloride</t>
  </si>
  <si>
    <t>Marcan Pharmaceuticals Inc.</t>
  </si>
  <si>
    <t>SBD00505</t>
  </si>
  <si>
    <t>Gallium (&lt;sup&gt;68&lt;/sup&gt;Ga) chloride generator</t>
  </si>
  <si>
    <t>Eckert &amp; Ziegler Radiopharma GmbH</t>
  </si>
  <si>
    <t>SBD00506</t>
  </si>
  <si>
    <t>Luspatercept</t>
  </si>
  <si>
    <t>SBD00507</t>
  </si>
  <si>
    <t>Ozanimod (supplied as ozanimod hydrochloride)</t>
  </si>
  <si>
    <t>SBD00508</t>
  </si>
  <si>
    <t>Isatuximab</t>
  </si>
  <si>
    <t>SBD00509</t>
  </si>
  <si>
    <t>Tozinameran</t>
  </si>
  <si>
    <t>BioNTech Manufacturing GmbH</t>
  </si>
  <si>
    <t>SBD00510</t>
  </si>
  <si>
    <t>mRNA-1273 SARS-CoV-2</t>
  </si>
  <si>
    <t>Moderna Therapeutics Inc.</t>
  </si>
  <si>
    <t>SBD00511</t>
  </si>
  <si>
    <t>Bamlanivimab</t>
  </si>
  <si>
    <t>SBD00512</t>
  </si>
  <si>
    <t>Enoxaparin sodium</t>
  </si>
  <si>
    <t>Juno Pharmaceuticals Corp.</t>
  </si>
  <si>
    <t>SBD00513</t>
  </si>
  <si>
    <t>N/A</t>
  </si>
  <si>
    <t>Allergan</t>
  </si>
  <si>
    <t>Mentor Medical Systems B.V.</t>
  </si>
  <si>
    <t>Mentor Medical Systems B.V. &lt;br /&gt; Mentor Corporation</t>
  </si>
  <si>
    <t>Allergan Medical</t>
  </si>
  <si>
    <t>Allergan Medical (Formerly: Inamed Corporation)</t>
  </si>
  <si>
    <t>&lt;p&gt;Boston Scientific Corporation&lt;br /&gt;1 Boston Scientific Place&lt;br /&gt;Natick, MA&lt;br /&gt;01760 USA&lt;/p&gt;</t>
  </si>
  <si>
    <t>SBD00320</t>
  </si>
  <si>
    <t>CardioGenesis Corporation&lt;br /&gt;26632 Towne Centre Dr., Suite 320&lt;br /&gt;Foothill Ranch, CA&lt;br /&gt;92610 USA</t>
  </si>
  <si>
    <t>ABIOMED, Inc.</t>
  </si>
  <si>
    <t>SynCardia Systems, Inc.</t>
  </si>
  <si>
    <t>Boston Scientific Corporation</t>
  </si>
  <si>
    <t>Inamed Corporation</t>
  </si>
  <si>
    <t>SBD00325</t>
  </si>
  <si>
    <t>Gen-Probe Incorporated</t>
  </si>
  <si>
    <t>Ortho-Clinical Diagnostics Inc.</t>
  </si>
  <si>
    <t>Impella Cardiosystems, GMBH</t>
  </si>
  <si>
    <t>Elana BV</t>
  </si>
  <si>
    <t>Roche Molecular Systems, Inc.</t>
  </si>
  <si>
    <t>SyntheMed, Inc.</t>
  </si>
  <si>
    <t>Newmarket Laboratories Ltd.</t>
  </si>
  <si>
    <t>W.L. Gore &amp;amp; Associates, Inc.</t>
  </si>
  <si>
    <t>Medtronic Inc.</t>
  </si>
  <si>
    <t>Berlin Heart GmbH</t>
  </si>
  <si>
    <t>Cook Inc. and William Cook Europe ApS</t>
  </si>
  <si>
    <t>Thoratec Corporation</t>
  </si>
  <si>
    <t>ev3 Inc.</t>
  </si>
  <si>
    <t>Roche Molecular System, Inc.</t>
  </si>
  <si>
    <t>Edwards Lifesciences LLC</t>
  </si>
  <si>
    <t>Medtronic, Inc.</t>
  </si>
  <si>
    <t>Medtronic CoreValve LLC</t>
  </si>
  <si>
    <t>Sorin Group Canada Inc., Mitroflow Division</t>
  </si>
  <si>
    <t>BIOTRONIK AG</t>
  </si>
  <si>
    <t>Lutonix, Inc.</t>
  </si>
  <si>
    <t>Bio-Rad Laboratories (Canada) Ltd.</t>
  </si>
  <si>
    <t>AGA Medical Corporation</t>
  </si>
  <si>
    <t>Abbott Vascular</t>
  </si>
  <si>
    <t>Stryker Sustainability Solutions</t>
  </si>
  <si>
    <t>Bio-Rad</t>
  </si>
  <si>
    <t>Second Sight Medical Products Inc.</t>
  </si>
  <si>
    <t>AVIOQ, Inc.</t>
  </si>
  <si>
    <t>Ideal Implant Incorporated</t>
  </si>
  <si>
    <t>Cerus Corporation</t>
  </si>
  <si>
    <t>Koning Corporation</t>
  </si>
  <si>
    <t>Mevion Medical Systems</t>
  </si>
  <si>
    <t>SBD00401</t>
  </si>
  <si>
    <t>Evalve, Inc. DBA Abbott Vascular Inc.</t>
  </si>
  <si>
    <t>Cameron Health, Inc.</t>
  </si>
  <si>
    <t>Roche Diagnostics GmbH</t>
  </si>
  <si>
    <t>Siemens Healthcare GmbH</t>
  </si>
  <si>
    <t>Abiomed Europe GMBH</t>
  </si>
  <si>
    <t>Viewray Incorporated</t>
  </si>
  <si>
    <t>Abbott Diabetes Care Ltd.</t>
  </si>
  <si>
    <t>St. Jude Medical</t>
  </si>
  <si>
    <t>Medtronic of Canada Ltd.</t>
  </si>
  <si>
    <t>Ascyrus Medical GmbH</t>
  </si>
  <si>
    <t>Verathon Inc.</t>
  </si>
  <si>
    <t>Profound Medical Inc.</t>
  </si>
  <si>
    <t>Drug Name</t>
  </si>
  <si>
    <t>Active Ingredient</t>
  </si>
  <si>
    <t>Approval Date</t>
  </si>
  <si>
    <t>FDA-approved use on approval date</t>
  </si>
  <si>
    <t>Action Date</t>
  </si>
  <si>
    <t>Submission</t>
  </si>
  <si>
    <t>Action Type</t>
  </si>
  <si>
    <t>Submission Classification</t>
  </si>
  <si>
    <t>Review Priority; Orphan Status</t>
  </si>
  <si>
    <t>Letters, Reviews, Labels, Patient Package Insert</t>
  </si>
  <si>
    <t>Notes</t>
  </si>
  <si>
    <t>PDF filed for approval</t>
  </si>
  <si>
    <t>vibegron</t>
  </si>
  <si>
    <t>To treat overactive bladderDrug Trials Snapshot</t>
  </si>
  <si>
    <t>ORIG-1</t>
  </si>
  <si>
    <t>Approval</t>
  </si>
  <si>
    <t>Type 1 - New Molecular Entity</t>
  </si>
  <si>
    <t>STANDARD</t>
  </si>
  <si>
    <t>https://www.accessdata.fda.gov/drugsatfda_docs/label/2020/213006s000lbl.pdf
 https://www.accessdata.fda.gov/drugsatfda_docs/appletter/2020/213006Orig1s000ltr.pdf
 https://www.accessdata.fda.gov/drugsatfda_docs/nda/2020/213006Orig1s000TOC.cfm</t>
  </si>
  <si>
    <t>ansuvimab-zykl</t>
  </si>
  <si>
    <t>To treat ebolaDrug Trials Snapshot</t>
  </si>
  <si>
    <t>N/A; Orphan</t>
  </si>
  <si>
    <t>https://www.accessdata.fda.gov/drugsatfda_docs/label/2020/761172s000lbl.pdf
 https://www.accessdata.fda.gov/drugsatfda_docs/appletter/2020/761172Orig1s000ltr.pdf
 https://www.accessdata.fda.gov/drugsatfda_docs/nda/2020/761172Orig1s000TOC.cfm</t>
  </si>
  <si>
    <t>relugolix</t>
  </si>
  <si>
    <t>To treat advanced prostate cancerPress ReleaseDrug Trials Snapshot</t>
  </si>
  <si>
    <t>PRIORITY</t>
  </si>
  <si>
    <t>https://www.accessdata.fda.gov/drugsatfda_docs/label/2020/214621s000lbl.pdf
 https://www.accessdata.fda.gov/drugsatfda_docs/appletter/2020/214621Orig1s000ltr.pdf
 https://www.accessdata.fda.gov/drugsatfda_docs/nda/2020/214621Orig1s000TOC.cfm</t>
  </si>
  <si>
    <t>margetuximab (anti-HER2 mAb</t>
  </si>
  <si>
    <t>To treat HER2+ breast cancerDrug Trials Snapshot</t>
  </si>
  <si>
    <t>https://www.accessdata.fda.gov/drugsatfda_docs/label/2020/761150s000lbl.pdf
 https://www.accessdata.fda.gov/drugsatfda_docs/appletter/2020/761150Orig1s000ltr.pdf
 https://www.accessdata.fda.gov/drugsatfda_docs/nda/2020/761150Orig1s000TOC.cfm</t>
  </si>
  <si>
    <t>tirbanibulin</t>
  </si>
  <si>
    <t>To treat actinic Keratosis of the face or scalpDrug Trials Snapshot</t>
  </si>
  <si>
    <t>https://www.accessdata.fda.gov/drugsatfda_docs/label/2020/213189s000lbl.pdf
 https://www.accessdata.fda.gov/drugsatfda_docs/appletter/2020/213189Orig1s000ltr.pdf
 https://www.accessdata.fda.gov/drugsatfda_docs/nda/2020/213189Orig1s000TOC.cfm</t>
  </si>
  <si>
    <t>berotralstat</t>
  </si>
  <si>
    <t>To treat patients with hereditary angioedemaDrug Trials Snapshot</t>
  </si>
  <si>
    <t>STANDARD; Orphan</t>
  </si>
  <si>
    <t>https://www.accessdata.fda.gov/drugsatfda_docs/label/2020/214094s000lbl.pdf
 https://www.accessdata.fda.gov/drugsatfda_docs/appletter/2020/214094Orig1s000ltr.pdf
 https://www.accessdata.fda.gov/drugsatfda_docs/nda/2020/214094Orig1s000TOC.cfm</t>
  </si>
  <si>
    <t>Unable to retrieve date from Letter PDF</t>
  </si>
  <si>
    <t>Gallium 68 PSMA-11</t>
  </si>
  <si>
    <t>For detection and localization of prostate cancerPress ReleaseDrug Trials Snapshot</t>
  </si>
  <si>
    <t>https://www.accessdata.fda.gov/drugsatfda_docs/label/2020/212642s000lbl.pdf
 https://www.accessdata.fda.gov/drugsatfda_docs/appletter/2020/212642Orig1s000ltr.pdf
 https://www.accessdata.fda.gov/drugsatfda_docs/nda/2020/212642Orig1s000TOC.cfm</t>
  </si>
  <si>
    <t>naxitamab-gqgk</t>
  </si>
  <si>
    <t>To treat high-risk refractory or relapsed neuroblastomaDrug Trials Snapshot</t>
  </si>
  <si>
    <t>https://www.accessdata.fda.gov/drugsatfda_docs/label/2020/761171lbl.pdf
 https://www.accessdata.fda.gov/drugsatfda_docs/appletter/2020/761171Orig1s000ltr.pdf
 https://www.accessdata.fda.gov/drugsatfda_docs/nda/2020/761171Orig1s000TOC.cfm</t>
  </si>
  <si>
    <t>setmelanotide</t>
  </si>
  <si>
    <t>To treat obesity and the control of hunger associated with pro-opiomelanocortin deficiency, a rare disorder that causes severe obesity that begins at an early ageDrug Trials Snapshot</t>
  </si>
  <si>
    <t>PRIORITY; Orphan</t>
  </si>
  <si>
    <t>https://www.accessdata.fda.gov/drugsatfda_docs/label/2020/213793Orig1s000RPLlbl.pdf
 https://www.accessdata.fda.gov/drugsatfda_docs/appletter/2020/213793Orig1s000ltr.pdf
 https://www.accessdata.fda.gov/drugsatfda_docs/nda/2020/213793Orig1s000TOC.cfm</t>
  </si>
  <si>
    <t>lumasiran</t>
  </si>
  <si>
    <t>To treat hyperoxaluria type 1Press ReleaseDrug Trials Snapshot</t>
  </si>
  <si>
    <t>https://www.accessdata.fda.gov/drugsatfda_docs/label/2020/214103lbl.pdf
 https://www.accessdata.fda.gov/drugsatfda_docs/appletter/2020/214103Orig1s000ltr.pdf
 https://www.accessdata.fda.gov/drugsatfda_docs/nda/2020/214103Orig1s000TOC.cfm</t>
  </si>
  <si>
    <t>lonafarnib</t>
  </si>
  <si>
    <t>To treat rare conditions related to premature agingPress ReleaseDrug Trials Snapshot</t>
  </si>
  <si>
    <t>https://www.accessdata.fda.gov/drugsatfda_docs/label/2020/213969s000lbl.pdf
 https://www.accessdata.fda.gov/drugsatfda_docs/appletter/2020/213969Orig1s000ltr.pdf
 https://www.accessdata.fda.gov/drugsatfda_docs/nda/2020/213969Orig1s000TOC.cfm</t>
  </si>
  <si>
    <t>remdesivir</t>
  </si>
  <si>
    <t>To treat COVID-19Press ReleaseDrug Trials Snapshot</t>
  </si>
  <si>
    <t>https://www.accessdata.fda.gov/drugsatfda_docs/label/2020/214787Orig1s000lbl.pdf
 https://www.accessdata.fda.gov/drugsatfda_docs/appletter/2020/214787Orig1s000ltr.pdf
 https://www.accessdata.fda.gov/drugsatfda_docs/nda/2020/214787Orig1s000TOC.cfm
 https://www.accessdata.fda.gov/drugsatfda_docs/nda/2020/214787Orig1s000Sumr.pdf</t>
  </si>
  <si>
    <t>atoltivimab, maftivimab, and odesivimab-ebgn</t>
  </si>
  <si>
    <t>To treat ebola virusPress ReleaseDrug Trials Snapshot</t>
  </si>
  <si>
    <t>https://www.accessdata.fda.gov/drugsatfda_docs/label/2020/761169s000lbl.pdf
 https://www.accessdata.fda.gov/drugsatfda_docs/appletter/2020/761169Orig1s000ltr.pdf
 https://www.accessdata.fda.gov/drugsatfda_docs/nda/2020/761169Orig1s000TOC.cfm</t>
  </si>
  <si>
    <t>pralsetinib</t>
  </si>
  <si>
    <t>To treat non-small lung cancerDrug Trials Snapshot</t>
  </si>
  <si>
    <t>https://www.accessdata.fda.gov/drugsatfda_docs/nda/2020/213721Orig1s000TOC.cfm</t>
  </si>
  <si>
    <t>Label is not available on this site.</t>
  </si>
  <si>
    <t>No letter issued</t>
  </si>
  <si>
    <t>copper Cu 64 dotatate injection</t>
  </si>
  <si>
    <t>To help detect certain types of neuroendocrine tumorsDrug Trials Snapshot</t>
  </si>
  <si>
    <t>https://www.accessdata.fda.gov/drugsatfda_docs/label/2020/213227s000lbl.pdf
 https://www.accessdata.fda.gov/drugsatfda_docs/appletter/2020/213227Orig1s000ltr.pdf
 https://www.accessdata.fda.gov/drugsatfda_docs/nda/2020/213227Orig1s000TOC.cfm</t>
  </si>
  <si>
    <t>somapacitan-beco</t>
  </si>
  <si>
    <t>Growth hormoneDrug Trials Snapshot</t>
  </si>
  <si>
    <t>https://www.accessdata.fda.gov/drugsatfda_docs/label/2020/761156s000lbl.pdf
 https://www.accessdata.fda.gov/drugsatfda_docs/appletter/2020/761156Orig1s000ltr.pdf
 https://www.accessdata.fda.gov/drugsatfda_docs/nda/2020/761156Orig1s000TOC.cfm</t>
  </si>
  <si>
    <t>clascoterone</t>
  </si>
  <si>
    <t>To treat acneDrug Trials Snapshot</t>
  </si>
  <si>
    <t>https://www.accessdata.fda.gov/drugsatfda_docs/label/2020/213433s000lbl.pdf
 https://www.accessdata.fda.gov/drugsatfda_docs/appletter/2020/213433Orig1s000ltr.pdf
 https://www.accessdata.fda.gov/drugsatfda_docs/nda/2020/213433Orig1s000TOC.cfm</t>
  </si>
  <si>
    <t>satralizumab-mwge</t>
  </si>
  <si>
    <t>To treat neuromyelitis optica spectrum disorderPress ReleaseDrug Trials Snapshot</t>
  </si>
  <si>
    <t>https://www.accessdata.fda.gov/drugsatfda_docs/label/2020/761149s000lbl.pdf
 https://www.accessdata.fda.gov/drugsatfda_docs/appletter/2020/761149Orig1s000ltr.pdf
 https://www.accessdata.fda.gov/drugsatfda_docs/nda/2020/761149Orig1s000TOC.cfm</t>
  </si>
  <si>
    <t>viltolarsen</t>
  </si>
  <si>
    <t>To treat Duchenne muscular dystrophyPress ReleaseDrug Trials Snapshot</t>
  </si>
  <si>
    <t>https://www.accessdata.fda.gov/drugsatfda_docs/label/2020/212154Orig1s000lbl.pdf
 https://www.accessdata.fda.gov/drugsatfda_docs/appletter/2020/212154Orig1s000ltr.pdf
 https://www.accessdata.fda.gov/drugsatfda_docs/nda/2020/212154Orig1s000TOC.cfm</t>
  </si>
  <si>
    <t>oliceridine</t>
  </si>
  <si>
    <t>To manage acute pain in certain adultsPress ReleaseDrug Trials Snapshot</t>
  </si>
  <si>
    <t>https://www.accessdata.fda.gov/drugsatfda_docs/label/2020/210730s000lbl.pdf
 https://www.accessdata.fda.gov/drugsatfda_docs/appletter/2020/210730Orig1s000ltr.pdf
 https://www.accessdata.fda.gov/drugsatfda_docs/nda/2020/210730Orig1s000TOC.cfm</t>
  </si>
  <si>
    <t>risdiplam</t>
  </si>
  <si>
    <t>To treat spinal muscular atrophyPress ReleaseDrug Trials Snapshot</t>
  </si>
  <si>
    <t>https://www.accessdata.fda.gov/drugsatfda_docs/label/2020/213535s000lbl.pdf
 https://www.accessdata.fda.gov/drugsatfda_docs/appletter/2020/213535Orig1s000ltr.pdf
 https://www.accessdata.fda.gov/drugsatfda_docs/nda/2020/213535Orig1s000TOC.cfm</t>
  </si>
  <si>
    <t>nifurtimox</t>
  </si>
  <si>
    <t>To treat Chagas disease in certain pediatric patients younger than age 18Drug Trials Snapshot</t>
  </si>
  <si>
    <t>https://www.accessdata.fda.gov/drugsatfda_docs/label/2020/213464s000lbl.pdf
 https://www.accessdata.fda.gov/drugsatfda_docs/appletter/2020/213464Orig1s000ltr.pdf
 https://www.accessdata.fda.gov/drugsatfda_docs/nda/2020/213464Orig1s000TOC.cfm</t>
  </si>
  <si>
    <t>belantamab mafodotin-blmf</t>
  </si>
  <si>
    <t>To treat multiple myelomaDrug Trials Snapshot</t>
  </si>
  <si>
    <t>https://www.accessdata.fda.gov/drugsatfda_docs/label/2020/761158s000lbl.pdf
 https://www.accessdata.fda.gov/drugsatfda_docs/appletter/2020/761158Orig1s000ltr.pdf
 https://www.accessdata.fda.gov/drugsatfda_docs/nda/2020/761158Orig1s000TOC.cfm</t>
  </si>
  <si>
    <t>tafasitamab-cxix</t>
  </si>
  <si>
    <t>To treat relapsed or refractory diffuse large B-cell lymphomaDrug Trials Snapshot</t>
  </si>
  <si>
    <t>https://www.accessdata.fda.gov/drugsatfda_docs/label/2020/761163s000lbl.pdf
 https://www.accessdata.fda.gov/drugsatfda_docs/appletter/2020/761163Orig1s000ltr.pdf
 https://www.accessdata.fda.gov/drugsatfda_docs/nda/2020/761163Orig1s000TOC.cfm</t>
  </si>
  <si>
    <t>abametapir</t>
  </si>
  <si>
    <t>To treat head liceDrug Trials Snapshot</t>
  </si>
  <si>
    <t>https://www.accessdata.fda.gov/drugsatfda_docs/label/2020/206966lbl.pdf
 https://www.accessdata.fda.gov/drugsatfda_docs/appletter/2020/206966Orig1s000ltr.pdf
 https://www.accessdata.fda.gov/drugsatfda_docs/nda/2020/206966Orig1s000TOC.cfm</t>
  </si>
  <si>
    <t>decitabine and cedazuridine</t>
  </si>
  <si>
    <t>To treat adult patients with myelodysplastic syndromesDrug Trials Snapshot</t>
  </si>
  <si>
    <t>https://www.accessdata.fda.gov/drugsatfda_docs/label/2020/212576s000lbl.pdf
 https://www.accessdata.fda.gov/drugsatfda_docs/appletter/2020/212576Orig1s000ltr.pdf
 https://www.accessdata.fda.gov/drugsatfda_docs/nda/2020/212576Orig1s000TOC.cfm</t>
  </si>
  <si>
    <t>fostemsavir</t>
  </si>
  <si>
    <t>To treat HIVPress ReleaseDrug Trials Snapshot</t>
  </si>
  <si>
    <t>https://www.accessdata.fda.gov/drugsatfda_docs/label/2020/212950s000lbl.pdf
 https://www.accessdata.fda.gov/drugsatfda_docs/appletter/2020/212950Orig1s000ltr.pdf
 https://www.accessdata.fda.gov/drugsatfda_docs/nda/2020/212950Orig1s000TOC.cfm</t>
  </si>
  <si>
    <t>remimazolam</t>
  </si>
  <si>
    <t>For sedationDrug Trials Snapshot</t>
  </si>
  <si>
    <t>Type 1 - New Molecular Entity and Type 4 - New Combination</t>
  </si>
  <si>
    <t>https://www.accessdata.fda.gov/drugsatfda_docs/label/2020/212295s000lbl.pdf
 https://www.accessdata.fda.gov/drugsatfda_docs/appletter/2020/212295Orig1s000ltr.pdf
 https://www.accessdata.fda.gov/drugsatfda_docs/nda/2020/212295Orig1s000TOC.cfm</t>
  </si>
  <si>
    <t>triheptanoin</t>
  </si>
  <si>
    <t>To treat molecularly long-chain fatty acid oxidation disordersDrug Trials Snapshot</t>
  </si>
  <si>
    <t>https://www.accessdata.fda.gov/drugsatfda_docs/label/2020/213687s000lbl.pdf
 https://www.accessdata.fda.gov/drugsatfda_docs/appletter/2020/213687Orig1s000replacementltr.pdf
 https://www.accessdata.fda.gov/drugsatfda_docs/nda/2020/213687Orig1s000TOC.cfm</t>
  </si>
  <si>
    <t>lurbinectedin</t>
  </si>
  <si>
    <t>To treat metastatic small cell lung cancerDrug Trials Snapshot</t>
  </si>
  <si>
    <t>https://www.accessdata.fda.gov/drugsatfda_docs/label/2020/213702s000lbl.pdf
 https://www.accessdata.fda.gov/drugsatfda_docs/appletter/2020/213702Orig1s000ltr.pdf
 https://www.accessdata.fda.gov/drugsatfda_docs/nda/2020/213702Orig1s000TOC.cfm</t>
  </si>
  <si>
    <t>inebilizumab-cdon</t>
  </si>
  <si>
    <t>https://www.accessdata.fda.gov/drugsatfda_docs/label/2020/761142s000lbl.pdf
 https://www.accessdata.fda.gov/drugsatfda_docs/appletter/2020/761142Orig1s000ltr.pdf
 https://www.accessdata.fda.gov/drugsatfda_docs/nda/2020/761142Orig1s000TOC.cfm</t>
  </si>
  <si>
    <t>flortaucipir F18</t>
  </si>
  <si>
    <t>Diagnostic agent for patients with Alzheimer’s diseasePress ReleaseDrug Trials Snapshot</t>
  </si>
  <si>
    <t>https://www.accessdata.fda.gov/drugsatfda_docs/label/2020/212123s000lbl.pdf
 https://www.accessdata.fda.gov/drugsatfda_docs/appletter/2020/212123Orig1s000ltr.pdf
 https://www.accessdata.fda.gov/drugsatfda_docs/nda/2020/212123Orig1s000TOC.cfm</t>
  </si>
  <si>
    <t>artesunate</t>
  </si>
  <si>
    <t>To treat severe malariaPress ReleaseDrug Trials Snapshot</t>
  </si>
  <si>
    <t>https://www.accessdata.fda.gov/drugsatfda_docs/label/2020/213036s000lbl.pdf
 https://www.accessdata.fda.gov/drugsatfda_docs/appletter/2020/213036Orig1s000ltr.pdf
 https://www.accessdata.fda.gov/drugsatfda_docs/nda/2020/213036Orig1s000TOC.cfm</t>
  </si>
  <si>
    <t>fluoroestradiol F18</t>
  </si>
  <si>
    <t>Diagnostic imaging agent for certain patients with breast cancerDrug Trials Snapshot</t>
  </si>
  <si>
    <t>https://www.accessdata.fda.gov/drugsatfda_docs/label/2020/212155s000lbl.pdf
 https://www.accessdata.fda.gov/drugsatfda_docs/appletter/2020/212155Orig1s000ltr.pdf
 https://www.accessdata.fda.gov/drugsatfda_docs/nda/2020/212155Orig1s000TOC.cfm</t>
  </si>
  <si>
    <t>ripretinib</t>
  </si>
  <si>
    <t>To treat advanced gastrointestinal-stromal tumorsPress ReleaseDrug Trials Snapshot</t>
  </si>
  <si>
    <t>https://www.accessdata.fda.gov/drugsatfda_docs/label/2020/213973s000lbl.pdf
 https://www.accessdata.fda.gov/drugsatfda_docs/appletter/2020/213973Orig1s000ltr.pdf
 https://www.accessdata.fda.gov/drugsatfda_docs/nda/2020/213973Orig1s000TOC.cfm</t>
  </si>
  <si>
    <t>selpercatinib</t>
  </si>
  <si>
    <t>To treat lung and thyroid cancersPress ReleaseDrug Trials Snapshot</t>
  </si>
  <si>
    <t>https://www.accessdata.fda.gov/drugsatfda_docs/label/2020/213246s000lbl.pdf
 https://www.accessdata.fda.gov/drugsatfda_docs/appletter/2020/213246Orig1s000ltr.pdf
 https://www.accessdata.fda.gov/drugsatfda_docs/nda/2020/213246Orig1s000TOC.cfm</t>
  </si>
  <si>
    <t>capmatinib</t>
  </si>
  <si>
    <t>To treat patients with non small cell lung cancerPress ReleaseDrug Trials Snapshot</t>
  </si>
  <si>
    <t>https://www.accessdata.fda.gov/drugsatfda_docs/label/2020/213591s000lbl.pdf
 https://www.accessdata.fda.gov/drugsatfda_docs/appletter/2020/213591Orig1s000ltr.pdf
 https://www.accessdata.fda.gov/drugsatfda_docs/nda/2020/213591Orig1s000TOC.cfm</t>
  </si>
  <si>
    <t>opicapone</t>
  </si>
  <si>
    <t>To treat patients with Parkinson’s disease experiencing “off” episodesDrug Trials Snapshot</t>
  </si>
  <si>
    <t>https://www.accessdata.fda.gov/drugsatfda_docs/label/2020/212489s000lbl.pdf
 https://www.accessdata.fda.gov/drugsatfda_docs/appletter/2020/212489Orig1s000ltr.pdf
 https://www.accessdata.fda.gov/drugsatfda_docs/nda/2020/212489Orig1s000TOC.cfm</t>
  </si>
  <si>
    <t>sacituzumab govitecan-hziy</t>
  </si>
  <si>
    <t>To treat adult patients with metastatic triple-negative breast cancer who received at least two prior therapies for metastatic diseasePress ReleaseDrug Trials Snapshot</t>
  </si>
  <si>
    <t>https://www.accessdata.fda.gov/drugsatfda_docs/label/2020/761115s000lbl.pdf
 https://www.accessdata.fda.gov/drugsatfda_docs/appletter/2020/761115Orig1s000ltr.pdf
 https://www.accessdata.fda.gov/drugsatfda_docs/nda/2020/761115Orig1s000TOC.cfm</t>
  </si>
  <si>
    <t>pemigatinib</t>
  </si>
  <si>
    <t>To treat certain patients with cholangiocarcinoma, a rare form of cancer that forms in bile ductsPress ReleaseDrug Trials Snapshot</t>
  </si>
  <si>
    <t>https://www.accessdata.fda.gov/drugsatfda_docs/label/2020/213736s000lbl.pdf
 https://www.accessdata.fda.gov/drugsatfda_docs/appletter/2020/213736Orig1s000ltr.pdf
 https://www.accessdata.fda.gov/drugsatfda_docs/nda/2020/213736Orig1s000TOC.cfm</t>
  </si>
  <si>
    <t>tucatinib</t>
  </si>
  <si>
    <t>To treat advanced unresectable or metastatic HER2-positive breast cancerDrug Trials Snapshot</t>
  </si>
  <si>
    <t>https://www.accessdata.fda.gov/drugsatfda_docs/label/2020/213411s000lbl.pdf
 https://www.accessdata.fda.gov/drugsatfda_docs/appletter/2020/213411Orig1s000ltr.pdf
 https://www.accessdata.fda.gov/drugsatfda_docs/nda/2020/213411Orig1s000TOC.cfm</t>
  </si>
  <si>
    <t>selumetinib</t>
  </si>
  <si>
    <t>To treat neurofibromatosis type 1, a genetic disorder of the nervous system causing tumors to grow on nervesDrug Trials Snapshot</t>
  </si>
  <si>
    <t>https://www.accessdata.fda.gov/drugsatfda_docs/label/2020/213756s000lbl.pdf
 https://www.accessdata.fda.gov/drugsatfda_docs/appletter/2020/213756Orig1s000ltr.pdf
 https://www.accessdata.fda.gov/drugsatfda_docs/nda/2020/213756Orig1s000TOC.cfm</t>
  </si>
  <si>
    <t>ozanimod</t>
  </si>
  <si>
    <t>To treat relapsing forms of multiple sclerosisDrug Trials Snapshot</t>
  </si>
  <si>
    <t>https://www.accessdata.fda.gov/drugsatfda_docs/label/2020/209899s000lbl.pdf
 https://www.accessdata.fda.gov/drugsatfda_docs/appletter/2020/209899Orig1s000ltr.pdf
 https://www.accessdata.fda.gov/drugsatfda_docs/nda/2020/209899Orig1s000TOC.cfm</t>
  </si>
  <si>
    <t>osilodrostat</t>
  </si>
  <si>
    <t>To treat adults with Cushing’s disease who either cannot undergo pituitary gland surgery or have undergone the surgery but still have the diseasePress ReleaseDrug Trials Snapshot</t>
  </si>
  <si>
    <t>https://www.accessdata.fda.gov/drugsatfda_docs/label/2020/212801s000lbl.pdf
 https://www.accessdata.fda.gov/drugsatfda_docs/appletter/2020/212801Orig1s000ltr.pdf
 https://www.accessdata.fda.gov/drugsatfda_docs/nda/2020/212801Orig1s000TOC.cfm</t>
  </si>
  <si>
    <t>isatuximab</t>
  </si>
  <si>
    <t>To treat multiple mylomaPress ReleaseDrug Trials Snapshot</t>
  </si>
  <si>
    <t>https://www.accessdata.fda.gov/drugsatfda_docs/label/2020/761113s000lbl.pdf
 https://www.accessdata.fda.gov/drugsatfda_docs/appletter/2020/761113Orig1s000ltr.pdf
 https://www.accessdata.fda.gov/drugsatfda_docs/nda/2020/761113Orig1s000TOC.cfm</t>
  </si>
  <si>
    <t>rimegepant</t>
  </si>
  <si>
    <t>To treat migraineDrug Trials Snapshot</t>
  </si>
  <si>
    <t>https://www.accessdata.fda.gov/drugsatfda_docs/label/2020/212728s000lbl.pdf
 https://www.accessdata.fda.gov/drugsatfda_docs/appletter/2020/212728Orig1s000ltr.pdf
 https://www.accessdata.fda.gov/drugsatfda_docs/nda/2020/212728Orig1s000TOC.cfm</t>
  </si>
  <si>
    <t>amisulpride</t>
  </si>
  <si>
    <t>To help prevent nausea and vomiting after surgeryDrug Trial Snapshot</t>
  </si>
  <si>
    <t>https://www.accessdata.fda.gov/drugsatfda_docs/label/2020/209510s000lbl.pdf
 https://www.accessdata.fda.gov/drugsatfda_docs/appletter/2020/209510Orig1s000ltr.pdf
 https://www.accessdata.fda.gov/drugsatfda_docs/nda/2020/209510Orig1s000TOC.cfm</t>
  </si>
  <si>
    <t>eptinezumab-jjmr</t>
  </si>
  <si>
    <t>For the preventive treatment of migraine in adultsDrug Trials Snapshot</t>
  </si>
  <si>
    <t>https://www.accessdata.fda.gov/drugsatfda_docs/label/2020/761119s000lbl.pdf
 https://www.accessdata.fda.gov/drugsatfda_docs/appletter/2020/761119Orig1s000ltr.pdf
 https://www.accessdata.fda.gov/drugsatfda_docs/nda/2020/761119Orig1s000TOC.cfm</t>
  </si>
  <si>
    <t>bempedoic acid</t>
  </si>
  <si>
    <t>To treat adults with heterozygous familial hypercholesterolemia or established atherosclerotic cardiovascular disease who require additional lowering of LDL-CDrug Trials Snapshot</t>
  </si>
  <si>
    <t>https://www.accessdata.fda.gov/drugsatfda_docs/label/2020/211616s000lbl.pdf
 https://www.accessdata.fda.gov/drugsatfda_docs/appletter/2020/211616Orig1s000ltr.pdf
 https://www.accessdata.fda.gov/drugsatfda_docs/nda/2020/211616Orig1s000TOC.cfm</t>
  </si>
  <si>
    <t>lactitol</t>
  </si>
  <si>
    <t>To treat chronic idiopathic constipation (CIC) in adultsDrug Trials Snapshot</t>
  </si>
  <si>
    <t>https://www.accessdata.fda.gov/drugsatfda_docs/label/2020/211281s000lbl.pdf
 https://www.accessdata.fda.gov/drugsatfda_docs/appletter/2020/211281Orig1s000ltr.pdf
 https://www.accessdata.fda.gov/drugsatfda_docs/nda/2020/211281Orig1s000TOC.cfm</t>
  </si>
  <si>
    <t>tazemetostat</t>
  </si>
  <si>
    <t>To treat epithelioid sarcomaPress ReleaseDrug Trials Snapshot</t>
  </si>
  <si>
    <t>https://www.accessdata.fda.gov/drugsatfda_docs/label/2020/211723s000lbl.pdf
 https://www.accessdata.fda.gov/drugsatfda_docs/appletter/2020/211723Orig1s000ltr.pdf
 https://www.accessdata.fda.gov/drugsatfda_docs/nda/2020/211723Orig1s000TOC.cfm</t>
  </si>
  <si>
    <t>teprotumumab-trbw</t>
  </si>
  <si>
    <t>To treat Thyroid eye diseasePress ReleaseDrug Trials Snapshot</t>
  </si>
  <si>
    <t>https://www.accessdata.fda.gov/drugsatfda_docs/label/2020/761143s000lbl.pdf
 https://www.accessdata.fda.gov/drugsatfda_docs/appletter/2020/761143Orig1s000ltr.pdf
 https://www.accessdata.fda.gov/drugsatfda_docs/nda/2020/761143Orig1s000TOC.cfm</t>
  </si>
  <si>
    <t>avapritinib</t>
  </si>
  <si>
    <t>To treat adults with unresectable or metastatic gastrointestinal stromal tumor (GIST)FDA InformationDrug Trials Snapshot</t>
  </si>
  <si>
    <t>https://www.accessdata.fda.gov/drugsatfda_docs/label/2020/212608s000lbl.pdf
 https://www.accessdata.fda.gov/drugsatfda_docs/appletter/2020/212608Orig1s000ltr.pdf
 https://www.accessdata.fda.gov/drugsatfda_docs/nda/2020/212608Orig1s000TOC.cfm</t>
  </si>
  <si>
    <t>ubrogepant</t>
  </si>
  <si>
    <t>to treat acute treatment of migraine with or without aura in adultsPress ReleaseDrug Trials Snapshot</t>
  </si>
  <si>
    <t>https://www.accessdata.fda.gov/drugsatfda_docs/label/2019/211765s000lbl.pdf
 https://www.accessdata.fda.gov/drugsatfda_docs/appletter/2019/211765Orig1s000ltr.pdf
 https://www.accessdata.fda.gov/drugsatfda_docs/nda/2019/211765Orig1s000TOC.cfm</t>
  </si>
  <si>
    <t>fam-trastuzumab deruxtecan-nxki</t>
  </si>
  <si>
    <t>To treat metastatic breast cancerPress ReleaseDrug Trials Snapshot</t>
  </si>
  <si>
    <t>https://www.accessdata.fda.gov/drugsatfda_docs/label/2019/761139s000lbl.pdf
 https://www.accessdata.fda.gov/drugsatfda_docs/appletter/2019/761139Orig1s000ltr.pdf
 https://www.accessdata.fda.gov/drugsatfda_docs/nda/2019/761139Orig1s000TOC.cfm</t>
  </si>
  <si>
    <t>lemborexant</t>
  </si>
  <si>
    <t>To treat insomniaDrug Trials Snapshot</t>
  </si>
  <si>
    <t>https://www.accessdata.fda.gov/drugsatfda_docs/label/2019/212028s000lbl.pdf
 https://www.accessdata.fda.gov/drugsatfda_docs/appletter/2019/212028Orig1s000ltr.pdf
 https://www.accessdata.fda.gov/drugsatfda_docs/nda/2019/212028Orig1s000TOC.cfm</t>
  </si>
  <si>
    <t>lumateperone tosylate</t>
  </si>
  <si>
    <t>To treat schizophreniaDrug Trials Snapshot</t>
  </si>
  <si>
    <t>https://www.accessdata.fda.gov/drugsatfda_docs/appletter/2019/209500Orig1s000ltr.pdf
 https://www.accessdata.fda.gov/drugsatfda_docs/nda/2019/209500Orig1s000TOC.cfm</t>
  </si>
  <si>
    <t>Brilliant Blue G Ophthalmic Solution</t>
  </si>
  <si>
    <t>Dye used in eye surgeryDrug Trials Snapshot</t>
  </si>
  <si>
    <t>https://www.accessdata.fda.gov/drugsatfda_docs/label/2019/209569s000lbl.pdf
 https://www.accessdata.fda.gov/drugsatfda_docs/appletter/2019/209569Orig1s000ltr.pdf
 https://www.accessdata.fda.gov/drugsatfda_docs/nda/2019/209569Orig1s000TOC.cfm</t>
  </si>
  <si>
    <t>enfortumab vedotin-ejfv</t>
  </si>
  <si>
    <t>To treat refractory bladder cancerPress ReleaseDrug Trials Snapshot</t>
  </si>
  <si>
    <t>https://www.accessdata.fda.gov/drugsatfda_docs/label/2019/761137s000lbl.pdf
 https://www.accessdata.fda.gov/drugsatfda_docs/appletter/2019/761137Orig1s000ltr.pdf
 https://www.accessdata.fda.gov/drugsatfda_docs/nda/2019/761137Orig1s000TOC.cfm</t>
  </si>
  <si>
    <t>golodirsen</t>
  </si>
  <si>
    <t>To treat certain patients with Duchenne muscular dystrophyPress ReleaseDrug Trials Snapshot</t>
  </si>
  <si>
    <t>https://www.accessdata.fda.gov/drugsatfda_docs/label/2019/211970s000lbl.pdf
 https://www.accessdata.fda.gov/drugsatfda_docs/appletter/2019/211970Orig1s000ltr.pdf
 https://www.accessdata.fda.gov/drugsatfda_docs/nda/2019/211970Orig1s000TOC.cfm</t>
  </si>
  <si>
    <t>voxelotor</t>
  </si>
  <si>
    <t>To treat sickle cell diseasePress ReleaseDrug Trials Snapshot</t>
  </si>
  <si>
    <t>https://www.accessdata.fda.gov/drugsatfda_docs/label/2019/213137s000lbl.pdf
 https://www.accessdata.fda.gov/drugsatfda_docs/appletter/2019/213137Orig1s000ltr.pdf
 https://www.accessdata.fda.gov/drugsatfda_docs/nda/2019/213137Orig1s000TOC.cfm</t>
  </si>
  <si>
    <t>cenobamate</t>
  </si>
  <si>
    <t>To treat partial onset seizuresPress ReleaseDrug Trials Snapshot</t>
  </si>
  <si>
    <t>https://www.accessdata.fda.gov/drugsatfda_docs/label/2019/212839s000lbl.pdf
 https://www.accessdata.fda.gov/drugsatfda_docs/appletter/2019/212839Orig1s000ltr.pdf
 https://www.accessdata.fda.gov/drugsatfda_docs/nda/2019/212839Orig1s000TOC.cfm</t>
  </si>
  <si>
    <t>givosiran</t>
  </si>
  <si>
    <t>To treat acute hepatic porphyria, a rare blood disorderPress ReleaseDrug Trials Snapshot</t>
  </si>
  <si>
    <t>https://www.accessdata.fda.gov/drugsatfda_docs/label/2019/0212194s000lbl.pdf
 https://www.accessdata.fda.gov/drugsatfda_docs/appletter/2019/212194Orig1s000ltr.pdf
 https://www.accessdata.fda.gov/drugsatfda_docs/nda/2019/212194Orig1s000TOC.cfm</t>
  </si>
  <si>
    <t>crizanlizumab-tmca</t>
  </si>
  <si>
    <t>To treat patients with painful complication of sickle cell diseasePress ReleaseDrug Trials Snapshot</t>
  </si>
  <si>
    <t>https://www.accessdata.fda.gov/drugsatfda_docs/label/2019/761128s000lbl.pdf
 https://www.accessdata.fda.gov/drugsatfda_docs/appletter/2019/761128Orig1s000ltr.pdf
 https://www.accessdata.fda.gov/drugsatfda_docs/nda/2019/761128Orig1s000TOC.cfm</t>
  </si>
  <si>
    <t>cefiderocol</t>
  </si>
  <si>
    <t>To treat patients with complicated urinary tract infections who have limited or no alternative treatment optionsPress ReleaseDrug Trials Snapshot</t>
  </si>
  <si>
    <t>https://www.accessdata.fda.gov/drugsatfda_docs/label/2019/209445s000lbl.pdf
 https://www.accessdata.fda.gov/drugsatfda_docs/appletter/2019/209445Orig1s000ltr.pdf
 https://www.accessdata.fda.gov/drugsatfda_docs/nda/2019/209445Orig1s000TOC.cfm</t>
  </si>
  <si>
    <t>zanubrutinib</t>
  </si>
  <si>
    <t>To treat certain patients with mantle cell lymphoma, a form of blood cancerPress ReleaseDrug Trials Snapshot</t>
  </si>
  <si>
    <t>https://www.accessdata.fda.gov/drugsatfda_docs/label/2019/213217s000lbl.pdf
 https://www.accessdata.fda.gov/drugsatfda_docs/appletter/2019/213217Orig1s000ltr.pdf
 https://www.accessdata.fda.gov/drugsatfda_docs/nda/2019/213217Orig1s000TOC.cfm</t>
  </si>
  <si>
    <t>luspatercept–aamt</t>
  </si>
  <si>
    <t>For the treatment of anemia in adult patients with beta thalassemia who require regular red blood cell transfusionsPress ReleaseDrug Trials Snapshot</t>
  </si>
  <si>
    <t>ORIG-2</t>
  </si>
  <si>
    <t>https://www.accessdata.fda.gov/drugsatfda_docs/label/2020/761136orig2lbl.pdf
 https://www.accessdata.fda.gov/drugsatfda_docs/appletter/2020/761136Orig2s000ltr.pdf
 https://www.accessdata.fda.gov/drugsatfda_docs/nda/2020/761136Orig2s000TOC.cfm</t>
  </si>
  <si>
    <t>air polymer-type A</t>
  </si>
  <si>
    <t>A diagnostic agent used to assess fallopian tube patency (openness) in women with known or suspected infertilityDrug Trials Snapshot</t>
  </si>
  <si>
    <t>https://www.accessdata.fda.gov/drugsatfda_docs/label/2019/212279lbl.pdf
 https://www.accessdata.fda.gov/drugsatfda_docs/appletter/2019/212279Orig1s000ltr.pdf
 https://www.accessdata.fda.gov/drugsatfda_docs/nda/2019/212279Orig1s000TOC.cfm</t>
  </si>
  <si>
    <t>elexacaftor/ivacaftor/tezacaftor</t>
  </si>
  <si>
    <t>To treat patients 12 years of age and older with the most common gene mutation that causes cystic fibrosisPress ReleaseDrug Trials Snapshot</t>
  </si>
  <si>
    <t>https://www.accessdata.fda.gov/drugsatfda_docs/label/2019/212273s000lbl.pdf
 https://www.accessdata.fda.gov/drugsatfda_docs/appletter/2019/212273Orig1s000ltr.pdf
 https://www.accessdata.fda.gov/drugsatfda_docs/nda/2019/212273Orig1s000TOC.cfm</t>
  </si>
  <si>
    <t>lasmiditan</t>
  </si>
  <si>
    <t>For the acute treatment of migraine with or without aura, in adultsPress ReleaseDrug Trials Snapshots</t>
  </si>
  <si>
    <t>https://www.accessdata.fda.gov/drugsatfda_docs/label/2019/211280s000lbl.pdf
 https://www.accessdata.fda.gov/drugsatfda_docs/appletter/2019/211280Orig1s000ltr.pdf
 https://www.accessdata.fda.gov/drugsatfda_docs/nda/2019/211280Orig1s000TOC.cfm</t>
  </si>
  <si>
    <t>fluorodopa F 18</t>
  </si>
  <si>
    <t>A diagnostic agent for use in positron emission tomography (PET) to help diagnose adult patients with suspected Parkinsonian syndromes (PS)Drug Trials Snapshot</t>
  </si>
  <si>
    <t>https://www.accessdata.fda.gov/drugsatfda_docs/label/2019/200655s000lbl.pdf
 https://www.accessdata.fda.gov/drugsatfda_docs/appletter/2019/200655Orig1s000ltr.pdf
 https://www.accessdata.fda.gov/drugsatfda_docs/nda/2019/200655Orig1s000TOC.cfm</t>
  </si>
  <si>
    <t>afamelanotide</t>
  </si>
  <si>
    <t>To increase pain-free light exposure in adult patients with a history of phototoxic reactions (damage to skin) from erythropoietic protoporphyriaPress ReleaseDrug Trials Snapshot</t>
  </si>
  <si>
    <t>https://www.accessdata.fda.gov/drugsatfda_docs/label/2019/210797s000lbl.pdf
 https://www.accessdata.fda.gov/drugsatfda_docs/appletter/2019/210797Orig1s000ltr.pdf
 https://www.accessdata.fda.gov/drugsatfda_docs/nda/2019/210797Orig1s000TOC.cfm</t>
  </si>
  <si>
    <t>brolucizumab–dbll</t>
  </si>
  <si>
    <t>Treatment of wet age-related macular degenerationDrug Trials Snapshot</t>
  </si>
  <si>
    <t>https://www.accessdata.fda.gov/drugsatfda_docs/label/2019/761125s000lbl.pdf  
 https://www.accessdata.fda.gov/drugsatfda_docs/appletter/2019/761125Orig1s000ltr.pdf
 https://www.accessdata.fda.gov/drugsatfda_docs/nda/2019/761125_Orig1_toc.cfm</t>
  </si>
  <si>
    <t>trifarotene</t>
  </si>
  <si>
    <t>For the topical treatment of acne vulgaris in patients 9 years of age and olderDrug Trials Snapshot</t>
  </si>
  <si>
    <t>https://www.accessdata.fda.gov/drugsatfda_docs/label/2019/211527s000lbl.pdf
 https://www.accessdata.fda.gov/drugsatfda_docs/appletter/2019/211527Orig1s000ltr.pdf
 https://www.accessdata.fda.gov/drugsatfda_docs/nda/2019/211527Orig1s000TOC.cfm</t>
  </si>
  <si>
    <t>tenapanor</t>
  </si>
  <si>
    <t>To treat irritable bowel syndrome with constipation in adults.Drug Trials Snapshot</t>
  </si>
  <si>
    <t>https://www.accessdata.fda.gov/drugsatfda_docs/label/2019/211801s000lbl.pdf
 https://www.accessdata.fda.gov/drugsatfda_docs/appletter/2019/211801Orig1s000ltr.pdf
 https://www.accessdata.fda.gov/drugsatfda_docs/nda/2019/211801Orig1s000TOC.cfm</t>
  </si>
  <si>
    <t>istradefylline</t>
  </si>
  <si>
    <t>To treat adult patients with Parkinson’s disease experiencing “off” episodesPress ReleaseDrug Trials Snapshot</t>
  </si>
  <si>
    <t>https://www.accessdata.fda.gov/drugsatfda_docs/label/2019/022075s000lbl.pdf
 https://www.accessdata.fda.gov/drugsatfda_docs/appletter/2019/022075Orig1s000ltr.pdf
 https://www.accessdata.fda.gov/drugsatfda_docs/nda/2019/022075Orig1s000TOC.cfm</t>
  </si>
  <si>
    <t>Ga-68-DOTATOC</t>
  </si>
  <si>
    <t>For use with positron emission tomography (PET) for localization of somatostatin receptor positive neuroendocrine tumors (NETs)Drug Trials Snapshot</t>
  </si>
  <si>
    <t>https://www.accessdata.fda.gov/drugsatfda_docs/label/2019/210828s000lbl.pdf
 https://www.accessdata.fda.gov/drugsatfda_docs/appletter/2019/210828Orig1s000ltr.pdf
 https://www.accessdata.fda.gov/drugsatfda_docs/nda/2019/210828Orig1s000TOC.cfm</t>
  </si>
  <si>
    <t>lefamulin</t>
  </si>
  <si>
    <t>To treat adults with community-acquired bacterial pneumoniaPress ReleaseDrug Trials Snapshot</t>
  </si>
  <si>
    <t>https://www.accessdata.fda.gov/drugsatfda_docs/label/2019/211672s000,211673s000lbl.pdf
 https://www.accessdata.fda.gov/drugsatfda_docs/appletter/2019/211672Orig1s000, 211673Orig1s000ltr.pdf
 https://www.accessdata.fda.gov/drugsatfda_docs/nda/2019/211672Orig1s000, 211673Orig1s000TOC.cfm</t>
  </si>
  <si>
    <t>upadacitinib</t>
  </si>
  <si>
    <t>To treat adults with moderately to severely active rheumatoid arthritisDrug Trials Snapshot</t>
  </si>
  <si>
    <t>https://www.accessdata.fda.gov/drugsatfda_docs/label/2019/211675s000lbl.pdf
 https://www.accessdata.fda.gov/drugsatfda_docs/appletter/2019/211675Orig1s000ltr.pdf
 https://www.accessdata.fda.gov/drugsatfda_docs/nda/2019/211675Orig1s000TOC.cfm</t>
  </si>
  <si>
    <t>fedratinib</t>
  </si>
  <si>
    <t>To treat adult patients with intermediate-2 or high-risk primary or secondary myelofibrosisPress ReleaseDrug Trials Snapshot</t>
  </si>
  <si>
    <t>https://www.accessdata.fda.gov/drugsatfda_docs/label/2019/212327s000lbl.pdf
 https://www.accessdata.fda.gov/drugsatfda_docs/appletter/2019/212327Orig1s000ltr.pdf
 https://www.accessdata.fda.gov/drugsatfda_docs/nda/2019/212327Orig1s000TOC.cfm</t>
  </si>
  <si>
    <t>entrectinib</t>
  </si>
  <si>
    <t>To treat adult patients with metastatic non-small cell lung cancer (NSCLC) whose tumors are ROS1-positive
			To treat adult and pediatric patients 12 years of age and older with solid tumorsPress ReleaseDrug Trials Snapshot: Pediatric patients 12 years of age and older with solid tumorsDrug Trials Snapshot: Metastatic non-small cell lung cancer (NSCLC) whose tumors are ROS1-positive</t>
  </si>
  <si>
    <t>https://www.accessdata.fda.gov/drugsatfda_docs/label/2019/212725s000lbl.pdf
 https://www.accessdata.fda.gov/drugsatfda_docs/appletter/2019/212725Orig1s000ltr.pdf
 https://www.accessdata.fda.gov/drugsatfda_docs/nda/2019/212725Orig1s000, 212726Orig1s000TOC.cfm</t>
  </si>
  <si>
    <t>pitolisant</t>
  </si>
  <si>
    <t>To treat excessive daytime sleepiness (EDS) in adult patients with narcolepsyDrug Trials Snapshot</t>
  </si>
  <si>
    <t>Unable to fetch data</t>
  </si>
  <si>
    <t>pretomanid</t>
  </si>
  <si>
    <t>For treatment-resistant forms of tuberculosis that affects the lungsPress ReleaseDrug Trials Snapshot</t>
  </si>
  <si>
    <t>https://www.accessdata.fda.gov/drugsatfda_docs/label/2019/212862s000lbl.pdf
 https://www.accessdata.fda.gov/drugsatfda_docs/appletter/2019/212862Orig1s000ltr.pdf
 https://www.accessdata.fda.gov/drugsatfda_docs/nda/2019/212862Orig1s000TOC.cfm</t>
  </si>
  <si>
    <t>pexidartinib</t>
  </si>
  <si>
    <t>To treat adult patients with symptomatic tenosynovial giant cell tumorPress ReleaseDrug Trials Snapshot</t>
  </si>
  <si>
    <t>https://www.accessdata.fda.gov/drugsatfda_docs/label/2019/211810s000lbl.pdf
 https://www.accessdata.fda.gov/drugsatfda_docs/appletter/2019/211810Orig1s000ltr.pdf
 https://www.accessdata.fda.gov/drugsatfda_docs/nda/2019/211810Orig1s000TOC.cfm</t>
  </si>
  <si>
    <t>darolutamide</t>
  </si>
  <si>
    <t>To treat adult patients with non-metastatic castration resistant prostate cancerDrug Trials Snapshot</t>
  </si>
  <si>
    <t>https://www.accessdata.fda.gov/drugsatfda_docs/label/2019/212099Orig1s000lbl.pdf
 https://www.accessdata.fda.gov/drugsatfda_docs/appletter/2019/212099Orig1s000ltr.pdf
 https://www.accessdata.fda.gov/drugsatfda_docs/nda/2019/212099Orig1s000TOC.cfm</t>
  </si>
  <si>
    <t>ferric maltol</t>
  </si>
  <si>
    <t>To treat iron deficiency anemia in adultsDrug Trials Snapshot</t>
  </si>
  <si>
    <t>https://www.accessdata.fda.gov/drugsatfda_docs/label/2019/212320Orig1s000lbl.pdf
 https://www.accessdata.fda.gov/drugsatfda_docs/appletter/2019/212320Orig1s000ltr.pdf
 https://www.accessdata.fda.gov/drugsatfda_docs/nda/2019/212320Orig1s000TOC.cfm</t>
  </si>
  <si>
    <t>imipenem, cilastatin and relebactam</t>
  </si>
  <si>
    <t>To treat complicated urinary tract and complicated intra-abdominal infectionsPress ReleaseDrug Trials Snapshot</t>
  </si>
  <si>
    <t>https://www.accessdata.fda.gov/drugsatfda_docs/label/2019/212819s000lbl.pdf
 https://www.accessdata.fda.gov/drugsatfda_docs/appletter/2019/212819Orig1s000ltr.pdf
 https://www.accessdata.fda.gov/drugsatfda_docs/nda/2019/212819Orig1s000TOC.cfm</t>
  </si>
  <si>
    <t>selinexor</t>
  </si>
  <si>
    <t>To treat adult patients with relapsed or refractory multiple myeloma (RRMM)Press Release Drug Trials Snapshot</t>
  </si>
  <si>
    <t>https://www.accessdata.fda.gov/drugsatfda_docs/label/2019/212306s000lbl.pdf
 https://www.accessdata.fda.gov/drugsatfda_docs/appletter/2019/212306Orig1s000rplLTR.pdf
 https://www.accessdata.fda.gov/drugsatfda_docs/nda/2019/212306Orig1s000TOC.cfm</t>
  </si>
  <si>
    <t>bremelanotide</t>
  </si>
  <si>
    <t>To treat hypoactive sexual desire disorder in premenopausal women.Press ReleaseDrug Trials Snapshot</t>
  </si>
  <si>
    <t>https://www.accessdata.fda.gov/drugsatfda_docs/label/2019/210557s000lbl.pdf
 https://www.accessdata.fda.gov/drugsatfda_docs/appletter/2019/210557Orig1s000ltr.pdf
 https://www.accessdata.fda.gov/drugsatfda_docs/nda/2019/210557Orig1s000TOC.cfm</t>
  </si>
  <si>
    <t>polatuzumab vedotin-piiq</t>
  </si>
  <si>
    <t>To treat adult patients with relapsed or refractory diffuse large B-cell lymphomaPress ReleaseDrug Trials Snapshot</t>
  </si>
  <si>
    <t>https://www.accessdata.fda.gov/drugsatfda_docs/label/2019/761121s000lbl.pdf
 https://www.accessdata.fda.gov/drugsatfda_docs/appletter/2019/761121Orig1s000ltr.pdf
 https://www.accessdata.fda.gov/drugsatfda_docs/nda/2019/761121Orig1s000TOC.cfm</t>
  </si>
  <si>
    <t>alpelisib</t>
  </si>
  <si>
    <t>To treat breast cancerPress ReleaseDrug Trials Snapshot</t>
  </si>
  <si>
    <t>https://www.accessdata.fda.gov/drugsatfda_docs/label/2019/212526s000lbl.pdf
 https://www.accessdata.fda.gov/drugsatfda_docs/appletter/2019/212526Orig1s000ltr.pdf
 https://www.accessdata.fda.gov/drugsatfda_docs/nda/2019/212526Orig1s000TOC.cfm</t>
  </si>
  <si>
    <t>tafamidis meglumine</t>
  </si>
  <si>
    <t>To treat heart disease (cardiomyopathy) caused by transthyretin mediated amyloidosis (ATTR-CM) in adultsPress Release Drug Trials Snapshot</t>
  </si>
  <si>
    <t>https://www.accessdata.fda.gov/drugsatfda_docs/label/2019/211996s000,212161s000lbl.pdf
 https://www.accessdata.fda.gov/drugsatfda_docs/appletter/2019/211996Orig1s000, 212161Orig1s000ltr.pdf
 https://www.accessdata.fda.gov/drugsatfda_docs/nda/2019/211996Orig1s000,%20212161Orig1s000TOC.cfm</t>
  </si>
  <si>
    <t>risankizumab-rzaa</t>
  </si>
  <si>
    <t>To treat moderate-to-severe plaque psoriasis in adults who are candidates for systemic therapy or phototherapyDrug Trials Snapshot</t>
  </si>
  <si>
    <t>https://www.accessdata.fda.gov/drugsatfda_docs/label/2019/761105s000lbl.pdf
 https://www.accessdata.fda.gov/drugsatfda_docs/appletter/2019/761105s000ltr.pdf
 https://www.accessdata.fda.gov/drugsatfda_docs/nda/2019/761105Orig1s000TOC.cfm</t>
  </si>
  <si>
    <t>erdafitinib</t>
  </si>
  <si>
    <t>To treat adult patients with locally advanced or metastatic bladder cancerPress ReleaseDrug Trials Snapshot</t>
  </si>
  <si>
    <t>https://www.accessdata.fda.gov/drugsatfda_docs/label/2019/212018s000lbl.pdf
 https://www.accessdata.fda.gov/drugsatfda_docs/appletter/2019/212018Orig1s000ltr.pdf
 https://www.accessdata.fda.gov/drugsatfda_docs/nda/2019/212018Orig1s000TOC.cfm</t>
  </si>
  <si>
    <t>romosozumab-aqqg</t>
  </si>
  <si>
    <t>To treat osteoporosis in postmenopausal women at high risk of fracturePress ReleaseDrug Trials Snapshot</t>
  </si>
  <si>
    <t>https://www.accessdata.fda.gov/drugsatfda_docs/label/2019/761062s000lbl.pdf
 https://www.accessdata.fda.gov/drugsatfda_docs/appletter/2019/761062Orig1s000ltr.pdf
 https://www.accessdata.fda.gov/drugsatfda_docs/nda/2019/761062Orig1s000TOC.cfm</t>
  </si>
  <si>
    <t>siponimod</t>
  </si>
  <si>
    <t>To treat adults with relapsing forms of multiple sclerosisPress ReleaseDrug Trials Snapshot</t>
  </si>
  <si>
    <t>https://www.accessdata.fda.gov/drugsatfda_docs/label/2019/209884s000lbl.pdf
 https://www.accessdata.fda.gov/drugsatfda_docs/appletter/2019/209884Orig1s000ltr.pdf
 https://www.accessdata.fda.gov/drugsatfda_docs/nda/2019/209884Orig1s000TOC.cfm</t>
  </si>
  <si>
    <t>solriamfetol</t>
  </si>
  <si>
    <t>To treat excessive sleepiness in adult patients with narcolepsy or obstructive sleep apneaDrug Trials Snapshot</t>
  </si>
  <si>
    <t>https://www.accessdata.fda.gov/drugsatfda_docs/label/2019/211230_Orig1Orig2s000lbl.pdf
 https://www.accessdata.fda.gov/drugsatfda_docs/appletter/2020/211230Orig1s000, Orig2s000ltr.pdf
 https://www.accessdata.fda.gov/drugsatfda_docs/nda/2019/211230Orig1Orig2s000TOC.cfm</t>
  </si>
  <si>
    <t>brexanolone</t>
  </si>
  <si>
    <t>To treat postpartum depression (PPD) in adult womenPress ReleaseDrug Trials Snapshot</t>
  </si>
  <si>
    <t>https://www.accessdata.fda.gov/drugsatfda_docs/label/2019/211371lbl.pdf
 https://www.accessdata.fda.gov/drugsatfda_docs/appletter/2019/211371Orig1s000ltr.pdf
 https://www.accessdata.fda.gov/drugsatfda_docs/nda/2019/211371Orig1s000TOC.cfm</t>
  </si>
  <si>
    <t>triclabendazole</t>
  </si>
  <si>
    <t>To treat fascioliasis, a parasitic infestation caused by two species of flatworms or trematodes that mainly the affect the liver, sometimes referred to as “liver flukes”Drug Trials Snapshot</t>
  </si>
  <si>
    <t>https://www.accessdata.fda.gov/drugsatfda_docs/label/2019/208711s000lbl.pdf
 https://www.accessdata.fda.gov/drugsatfda_docs/appletter/2019/208711Orig1s000ltr.pdf
 https://www.accessdata.fda.gov/drugsatfda_docs/nda/2018/208711Orig1s000TOC.cfm</t>
  </si>
  <si>
    <t>caplacizumab-yhdp</t>
  </si>
  <si>
    <t>To treat adult patients with acquired thrombotic thrombocytopenic purpura (aTTP)Press ReleaseDrug Trials Snapshot</t>
  </si>
  <si>
    <t>https://www.accessdata.fda.gov/drugsatfda_docs/label/2019/761112Orig1s000ltr.pdf
 https://www.accessdata.fda.gov/drugsatfda_docs/appletter/2019/761112Orig1s000ltr.pdf
 https://www.accessdata.fda.gov/drugsatfda_docs/nda/2019/761112Orig1s000TOC.cfm</t>
  </si>
  <si>
    <t>prabotulinumtoxinA-xvfs</t>
  </si>
  <si>
    <t>For the temporary improvement in the appearance of moderate to severe glabellar lines associated with corrugator and/or procerus muscle activity in adult patients</t>
  </si>
  <si>
    <t>https://www.accessdata.fda.gov/drugsatfda_docs/label/2019/761085s000lbl.pdf
 https://www.accessdata.fda.gov/drugsatfda_docs/appletter/2019/761085Orig1s000ltr.pdf
 https://www.accessdata.fda.gov/drugsatfda_docs/nda/2019/761085Orig1s000TOC.cfm</t>
  </si>
  <si>
    <t>ravulizumab</t>
  </si>
  <si>
    <t>To treat paroxysmal nocturnal hemoglobinuria (PNH)
			Press ReleaseDrug Trials Snapshot</t>
  </si>
  <si>
    <t>https://www.accessdata.fda.gov/drugsatfda_docs/label/2018/761108s000lbl.pdf
 https://www.accessdata.fda.gov/drugsatfda_docs/appletter/2018/761108Orig1s000Ltr.pdf
 https://www.accessdata.fda.gov/drugsatfda_docs/nda/2018/761108Orig1s000TOC.cfm</t>
  </si>
  <si>
    <t>tagraxofusp-erzs</t>
  </si>
  <si>
    <t>To treat blastic plasmacytoid dendritic cell neoplasm (BPDCN)Press ReleaseDrug Trials Snapshot</t>
  </si>
  <si>
    <t>https://www.accessdata.fda.gov/drugsatfda_docs/label/2018/761116s000lbl.pdf
 https://www.accessdata.fda.gov/drugsatfda_docs/nda/2018/761116Orig1s000TOC.cfm</t>
  </si>
  <si>
    <t>calaspargase pegol-mknl</t>
  </si>
  <si>
    <t>To treat acute lymphoblastic leukemia (ALL) in pediatric and young adult patients age 1 month to 21 yearsDrug Trials Snapshot</t>
  </si>
  <si>
    <t>https://www.accessdata.fda.gov/drugsatfda_docs/label/2018/761102s000lbl.pdf
 https://www.accessdata.fda.gov/drugsatfda_docs/appletter/2018/761102Orig1s000Ltr.pdf
 https://www.accessdata.fda.gov/drugsatfda_docs/nda/2018/761102Orig1s000TOC.cfm</t>
  </si>
  <si>
    <t>prucalopride</t>
  </si>
  <si>
    <t>To treat chronic idiopathic constipationDrug Trials Snapshot</t>
  </si>
  <si>
    <t>https://www.accessdata.fda.gov/drugsatfda_docs/label/2018/210166s000lbl.pdf
 https://www.accessdata.fda.gov/drugsatfda_docs/appletter/2018/210166Orig1s000Ltr.pdf
 https://www.accessdata.fda.gov/drugsatfda_docs/nda/2018/210166Orig1s000TOC.cfm</t>
  </si>
  <si>
    <t>gilteritinib</t>
  </si>
  <si>
    <t>To treat patients who have relapsed or refractory acute myeloid leukemia (AML)Press ReleaseDrug Trials Snapshot</t>
  </si>
  <si>
    <t>https://www.accessdata.fda.gov/drugsatfda_docs/label/2018/211349s000lbl.pdf
 https://www.accessdata.fda.gov/drugsatfda_docs/appletter/2018/211349Orig1s000replacementltr.pdf
 https://www.accessdata.fda.gov/drugsatfda_docs/nda/2018/211349Orig1_toc.cfm</t>
  </si>
  <si>
    <t>amifampridine</t>
  </si>
  <si>
    <t>To treat  Lambert-Eaton myasthenic syndrome (LEMS) in adultsPress ReleaseDrug Trials Snapshot</t>
  </si>
  <si>
    <t>https://www.accessdata.fda.gov/drugsatfda_docs/label/2018/208078s000lbl.pdf
 https://www.accessdata.fda.gov/drugsatfda_docs/appletter/2018/208078Orig1s000ltr.pdf
 https://www.accessdata.fda.gov/drugsatfda_docs/nda/2018/208078Orig1_toc.cfm</t>
  </si>
  <si>
    <t>larotrectinib</t>
  </si>
  <si>
    <t>To treat patients whose cancers have a specific genetic feature (biomarker)Press ReleaseDrug Trials Snapshot</t>
  </si>
  <si>
    <t>https://www.accessdata.fda.gov/drugsatfda_docs/label/2018/210861s000lbl.pdf
 https://www.accessdata.fda.gov/drugsatfda_docs/appletter/2018/210861Orig1s000ltr.pdf
 https://www.accessdata.fda.gov/drugsatfda_docs/nda/2018/210861Orig1s000_21171Orig1s000TOC.cfm</t>
  </si>
  <si>
    <t>glasdegib</t>
  </si>
  <si>
    <t>To treat newly-diagnosed acute myeloid leukemia (AML) in adult patients
			Press Release Drug Trials Snapshot</t>
  </si>
  <si>
    <t>https://www.accessdata.fda.gov/drugsatfda_docs/label/2018/210656s000lbl.pdf
 https://www.accessdata.fda.gov/drugsatfda_docs/appletter/2018/210656Orig1s000ltr.pdf
 https://www.accessdata.fda.gov/drugsatfda_docs/nda/2018/210656Orig1s000TOC.cfm</t>
  </si>
  <si>
    <t>emapalumab-lzsgemapalumab-lzsg</t>
  </si>
  <si>
    <t>To treat primary hemophagocytic lymphohistiocytosis (HLH)
			Press ReleaseDrug Trials Snapshot</t>
  </si>
  <si>
    <t>https://www.accessdata.fda.gov/drugsatfda_docs/label/2018/761107s000lbl.pdf
 https://www.accessdata.fda.gov/drugsatfda_docs/appletter/2018/761107Orig1s000ltr.pdf
 https://www.accessdata.fda.gov/drugsatfda_docs/nda/2018/761107Orig1s000TOC.cfm</t>
  </si>
  <si>
    <t>rifamycin</t>
  </si>
  <si>
    <t>To treat travelers’ diarrhea
			Press ReleaseDrug Trials Snapshot</t>
  </si>
  <si>
    <t>https://www.accessdata.fda.gov/drugsatfda_docs/label/2018/210910s000lbl.pdf
 https://www.accessdata.fda.gov/drugsatfda_docs/appletter/2018/210910Orig1s000ltr.pdf
 https://www.accessdata.fda.gov/drugsatfda_docs/nda/2018/210910Orig1_toc.cfm</t>
  </si>
  <si>
    <t>revefenacin</t>
  </si>
  <si>
    <t>To treat patients with chronic obstructive pulmonary disease (COPD)Drug Trials Snapshot</t>
  </si>
  <si>
    <t>https://www.accessdata.fda.gov/drugsatfda_docs/label/2018/210598s000lbl.pdf
 https://www.accessdata.fda.gov/drugsatfda_docs/appletter/2018/210598Orig1s000ltr.pdf
 https://www.accessdata.fda.gov/drugsatfda_docs/nda/2018/210598Orig1s000TOC.cfm</t>
  </si>
  <si>
    <t>lorlatinib</t>
  </si>
  <si>
    <t>To treat patients with anaplastic lymphoma kinase (ALK)-positive metastatic non-small cell lung cancerDrug Trials Snapshot</t>
  </si>
  <si>
    <t>https://www.accessdata.fda.gov/drugsatfda_docs/label/2018/210868s000lbl.pdf
 https://www.accessdata.fda.gov/drugsatfda_docs/appletter/2018/210868Orig1s000ltr.pdf
 https://www.accessdata.fda.gov/drugsatfda_docs/nda/2018/210868Orig1s000TOC.cfm</t>
  </si>
  <si>
    <t>baloxavir marboxil</t>
  </si>
  <si>
    <t>To treat acute uncomplicated influenza in patients who have been symptomatic for no more than 48 hours.Press ReleaseDrug Trials Snapshot</t>
  </si>
  <si>
    <t>https://www.accessdata.fda.gov/drugsatfda_docs/label/2018/210854s000lbl.pdf
 https://www.accessdata.fda.gov/drugsatfda_docs/appletter/2018/210854Orig1s000ltr_ReplacementLtr.pdf
 https://www.accessdata.fda.gov/drugsatfda_docs/nda/2018/210854Orig1s000TOC.cfm</t>
  </si>
  <si>
    <t>talazoparib</t>
  </si>
  <si>
    <t>To treat locally advanced or metastatic breast cancer patients with a germline BRCA mutation.Drug Trials Snapshot</t>
  </si>
  <si>
    <t>https://www.accessdata.fda.gov/drugsatfda_docs/label/2018/211651s000lbl.pdf
 https://www.accessdata.fda.gov/drugsatfda_docs/appletter/2018/211651Orig1s000ltr.pdf
 https://www.accessdata.fda.gov/drugsatfda_docs/nda/2018/211651Orig1s000TOC.cfm</t>
  </si>
  <si>
    <t>inotersen</t>
  </si>
  <si>
    <t>To treat polyneuropathy of hereditary transthyretin-mediated amyloidosis in adultsDrug Trials Snapshot</t>
  </si>
  <si>
    <t>https://www.accessdata.fda.gov/drugsatfda_docs/label/2018/211172lbl.pdf
 https://www.accessdata.fda.gov/drugsatfda_docs/appletter/2018/211172Orig1s000Ltr.pdf
 https://www.accessdata.fda.gov/drugsatfda_docs/nda/2018/211172Orig1s000TOC.cfm</t>
  </si>
  <si>
    <t>elapegademase-lvlr</t>
  </si>
  <si>
    <t>To treat Adenosine Deaminase-Severe Combined Immunodeficiency (ADA-SCID)Drug Trials Snapshot</t>
  </si>
  <si>
    <t>https://www.accessdata.fda.gov/drugsatfda_docs/label/2018/761092s000lbl.pdf
 https://www.accessdata.fda.gov/drugsatfda_docs/appletter/2018/761092Orig1s000ltr.pdf
 https://www.accessdata.fda.gov/drugsatfda_docs/nda/2018/761092Orig1s000TOC.cfm</t>
  </si>
  <si>
    <t>omadacycline</t>
  </si>
  <si>
    <t>To treat community-acquired bacterial pneumonia and acute bacterial skin and skin structure infectionsDrug Trials Snapshot for community-acquired bacterial pneumonia
			Drug Trials Snapshot for bacterial skin infections</t>
  </si>
  <si>
    <t>https://www.accessdata.fda.gov/drugsatfda_docs/label/2018/209816_209817lbl.pdf
 https://www.accessdata.fda.gov/drugsatfda_docs/appletter/2018/209816Orig1s000,209817Orig1s000Ltr.pdf
 https://www.accessdata.fda.gov/drugsatfda_docs/nda/2018/209816Orig1s000,209817Orig1s000TOC.cfm</t>
  </si>
  <si>
    <t>sarecycline</t>
  </si>
  <si>
    <t>To treat inflammatory lesions of non-nodular moderate to severe acne vulgaris in patients 9 years of age and olderDrug Trials Snapshot</t>
  </si>
  <si>
    <t>https://www.accessdata.fda.gov/drugsatfda_docs/label/2018/209521s000lbl.pdf
 https://www.accessdata.fda.gov/drugsatfda_docs/appletter/2018/209521Orig1s000ltr.pdf
 https://www.accessdata.fda.gov/drugsatfda_docs/nda/2018/209521Orig1s000TOC.cfm</t>
  </si>
  <si>
    <t>cemiplimab-rwlc</t>
  </si>
  <si>
    <t>To treat cutaneous squamous cell carcinoma (CSCC)Drug Trial Snapshot</t>
  </si>
  <si>
    <t>https://www.accessdata.fda.gov/drugsatfda_docs/label/2018/761097s000lbl.pdf
 https://www.accessdata.fda.gov/drugsatfda_docs/appletter/2018/761097Orig1s000ltr.pdf
 https://www.accessdata.fda.gov/drugsatfda_docs/nda/2018/761097Orig1s000TOC.cfm</t>
  </si>
  <si>
    <t>dacomitinib</t>
  </si>
  <si>
    <t>To treat metastatic non-small-cell lung cancer
			Drug Trials Snapshot</t>
  </si>
  <si>
    <t>https://www.accessdata.fda.gov/drugsatfda_docs/label/2018/211288s000lbl.pdf
 https://www.accessdata.fda.gov/drugsatfda_docs/appletter/2018/211288Orig1s000ltr.pdf
 https://www.accessdata.fda.gov/drugsatfda_docs/nda/2018/211288Orig1s000TOC.cfm</t>
  </si>
  <si>
    <t>galcanezumab-gnlm</t>
  </si>
  <si>
    <t>https://www.accessdata.fda.gov/drugsatfda_docs/label/2018/761063s000lbl.pdf
 https://www.accessdata.fda.gov/drugsatfda_docs/appletter/2018/761063Orig1s000ltr.pdf
 https://www.accessdata.fda.gov/drugsatfda_docs/nda/2018/761063Orig1s000TOC.cfm</t>
  </si>
  <si>
    <t>duvelisib</t>
  </si>
  <si>
    <t>To treat relapsed or refractory chronic lymphocytic leukemia, small lymphocytic lymphoma and follicular lymphomaDrug Trials Snapshot</t>
  </si>
  <si>
    <t>https://www.accessdata.fda.gov/drugsatfda_docs/label/2018/211155s000lbl.pdf
 https://www.accessdata.fda.gov/drugsatfda_docs/appletter/2018/211155Orig1s000ltr.pdf
 https://www.accessdata.fda.gov/drugsatfda_docs/nda/2018/211155Orig1Orig2s000TOC.cfm</t>
  </si>
  <si>
    <t>fremanezumab-vfrm</t>
  </si>
  <si>
    <t>https://www.accessdata.fda.gov/drugsatfda_docs/label/2018/761089s000lbl.pdf
 https://www.accessdata.fda.gov/drugsatfda_docs/appletter/2018/761089Orig1s000ltr.pdf
 https://www.accessdata.fda.gov/drugsatfda_docs/nda/2018/761089Orig1s000TOC.cfm</t>
  </si>
  <si>
    <t>moxetumomab pasudotox-tdfk</t>
  </si>
  <si>
    <t>To treat hairy cell leukemiaPress ReleaseDrug Trials Snapshot</t>
  </si>
  <si>
    <t>https://www.accessdata.fda.gov/drugsatfda_docs/label/2018/761104s000lbl.pdf
 https://www.accessdata.fda.gov/drugsatfda_docs/appletter/2018/761104Orig1s000Ltr.pdf
 https://www.accessdata.fda.gov/drugsatfda_docs/nda/2018/761104Orig1s000TOC.cfm</t>
  </si>
  <si>
    <t>doravirine</t>
  </si>
  <si>
    <t>To treat HIV-1 infection in adult patientsDrug Trials Snapshot</t>
  </si>
  <si>
    <t>https://www.accessdata.fda.gov/drugsatfda_docs/label/2018/210806s000lbl.pdf
 https://www.accessdata.fda.gov/drugsatfda_docs/appletter/2018/210806Orig1s000ltr.pdf
 https://www.accessdata.fda.gov/drugsatfda_docs/nda/2018/210806Orig1s000,210807Orig1s000TOC.cfm</t>
  </si>
  <si>
    <t>eravacycline</t>
  </si>
  <si>
    <t>To treat complicated intra-abdominal infections in patients 18 years of age and olderDrug Trials Snapshot</t>
  </si>
  <si>
    <t>https://www.accessdata.fda.gov/drugsatfda_docs/label/2018/211109lbl.pdf
 https://www.accessdata.fda.gov/drugsatfda_docs/appletter/2018/211109Orig1s000ltr.pdf
 https://www.accessdata.fda.gov/drugsatfda_docs/nda/2018/211109Orig1s000TOC.cfm</t>
  </si>
  <si>
    <t>lanadelumab</t>
  </si>
  <si>
    <t>To treat types I and II hereditary angioedemaMore InformationDrug Trials Snapshot</t>
  </si>
  <si>
    <t>https://www.accessdata.fda.gov/drugsatfda_docs/label/2018/761090s000lbl.pdf
 https://www.accessdata.fda.gov/drugsatfda_docs/appletter/2018/761090Orig1s000ltr.pdf
 https://www.accessdata.fda.gov/drugsatfda_docs/nda/2018/761090Orig1s000TOC.cfm</t>
  </si>
  <si>
    <t>cenegermin-bkbj</t>
  </si>
  <si>
    <t>To treat neurotrophic keratitisPress ReleaseDrug Trials Snapshot</t>
  </si>
  <si>
    <t>https://www.accessdata.fda.gov/drugsatfda_docs/label/2018/761094s000lbl.pdf
 https://www.accessdata.fda.gov/drugsatfda_docs/appletter/2018/761094Orig1s000Ltr.pdf
 https://www.accessdata.fda.gov/drugsatfda_docs/nda/2018/761094Orig1s000TOC.cfm</t>
  </si>
  <si>
    <t>stiripentol</t>
  </si>
  <si>
    <t>To treat seizures associated with Dravet syndrome in patients 2 years of age and older taking clobazamDrug Trials Snapshot</t>
  </si>
  <si>
    <t>https://www.accessdata.fda.gov/drugsatfda_docs/label/2018/206709s000,207223s000lbl.pdf
 https://www.accessdata.fda.gov/drugsatfda_docs/appletter/2018/206709Orig1s000,207223Orig1s000Ltr.pdf
 https://www.accessdata.fda.gov/drugsatfda_docs/nda/2018/206709Orig1s000,207223Orig1s000TOC.cfm</t>
  </si>
  <si>
    <t>migalastat</t>
  </si>
  <si>
    <t>To treat treat adults with Fabry disease.Press ReleaseDrug Trials Snapshot</t>
  </si>
  <si>
    <t>https://www.accessdata.fda.gov/drugsatfda_docs/label/2018/208623lbl.pdf
 https://www.accessdata.fda.gov/drugsatfda_docs/appletter/2018/208623Orig1s000ltr.pdf
 https://www.accessdata.fda.gov/drugsatfda_docs/nda/2018/208623Orig1s000TOC.cfm</t>
  </si>
  <si>
    <t>segesterone acetate and ethinyl estradiol vaginal system</t>
  </si>
  <si>
    <t>New vaginal ring used to prevent pregnancy for an entire yearPress ReleaseDrug Trials Snapshot</t>
  </si>
  <si>
    <t>https://www.accessdata.fda.gov/drugsatfda_docs/label/2018/209627s000lbl.pdf
 https://www.accessdata.fda.gov/drugsatfda_docs/appletter/2018/209627Orig1s000ltr.pdf
 https://www.accessdata.fda.gov/drugsatfda_docs/nda/2018/209627Orig1s000TOC.cfm</t>
  </si>
  <si>
    <t>patisiran</t>
  </si>
  <si>
    <t>To treat the polyneuropathy of hereditary transthyretin-mediated amyloidosis in adult patientsPress ReleaseDrug Trials Snapshot</t>
  </si>
  <si>
    <t>https://www.accessdata.fda.gov/drugsatfda_docs/label/2018/210922s000lbl.pdf
 https://www.accessdata.fda.gov/drugsatfda_docs/appletter/2018/210922Orig1s000ltr.pdf
 https://www.accessdata.fda.gov/drugsatfda_docs/nda/2018/210922Orig1s000TOC.cfm</t>
  </si>
  <si>
    <t>mogamulizumab-kpkc</t>
  </si>
  <si>
    <t>To treat two rare types of non-Hodgkin lymphomaPress ReleaseDrug Trials Snapshot</t>
  </si>
  <si>
    <t>https://www.accessdata.fda.gov/drugsatfda_docs/label/2018/761051s000lbl.pdf
 https://www.accessdata.fda.gov/drugsatfda_docs/appletter/2018/761051Orig1s000Ltr.pdf
 https://www.accessdata.fda.gov/drugsatfda_docs/nda/2018/761051Orig1s000TOC.cfm</t>
  </si>
  <si>
    <t>lusutrombopag</t>
  </si>
  <si>
    <t>To treat thrombocytopenia in adult patients with chronic liver disease who are scheduled to undergo a procedureDrug Trials Snapshot</t>
  </si>
  <si>
    <t>https://www.accessdata.fda.gov/drugsatfda_docs/label/2018/210923s000lbl.pdf
 https://www.accessdata.fda.gov/drugsatfda_docs/appletter/2018/210923Orig1s000Ltr.pdf
 https://www.accessdata.fda.gov/drugsatfda_docs/nda/2018/210923Orig1s000TOC.cfm</t>
  </si>
  <si>
    <t>fish oil triglycerides</t>
  </si>
  <si>
    <t>As a source of calories and fatty acids in pediatric patients with parenteral nutrition-associated cholestasisDrug Trials Snapshot</t>
  </si>
  <si>
    <t>https://www.accessdata.fda.gov/drugsatfda_docs/label/2018/0210589s000lbledt.pdf
 https://www.accessdata.fda.gov/drugsatfda_docs/appletter/2018/210589Orig1s000ltr.pdf
 https://www.accessdata.fda.gov/drugsatfda_docs/nda/2018/210589Orig1s000TOC.cfm</t>
  </si>
  <si>
    <t>elagolix sodium</t>
  </si>
  <si>
    <t>For the management of moderate to severe pain associated with endometriosisDrug Trials Snapshot</t>
  </si>
  <si>
    <t>https://www.accessdata.fda.gov/drugsatfda_docs/label/2018/210450s000lbl.pdf
 https://www.accessdata.fda.gov/drugsatfda_docs/appletter/2018/210450Orig1s000Ltr.pdf
 https://www.accessdata.fda.gov/drugsatfda_docs/nda/2018/210450Orig1s000TOC.cfm</t>
  </si>
  <si>
    <t>tafenoquine</t>
  </si>
  <si>
    <t>For the radical cure (prevention of relapse) of Plasmodium vivax malariaDrug Trials Snapshot</t>
  </si>
  <si>
    <t>https://www.accessdata.fda.gov/drugsatfda_docs/label/2018/210795s000lbl.pdf
 https://www.accessdata.fda.gov/drugsatfda_docs/appletter/2018/210795Orig1s000Ltr.pdf
 https://www.accessdata.fda.gov/drugsatfda_docs/nda/2018/210795Orig1s000TOC.cfm</t>
  </si>
  <si>
    <t>ivosidenib</t>
  </si>
  <si>
    <t>To treat patients with relapsed or refractory acute myeloid leukemiaPress ReleaseDrug Trials Snapshot</t>
  </si>
  <si>
    <t>https://www.accessdata.fda.gov/drugsatfda_docs/label/2018/211192s000lbl.pdf
 https://www.accessdata.fda.gov/drugsatfda_docs/appletter/2018/211192Orig1s000ltr.pdf
 https://www.accessdata.fda.gov/drugsatfda_docs/nda/2018/211192Orig1s000TOC.cfm</t>
  </si>
  <si>
    <t>tecovirimat</t>
  </si>
  <si>
    <t>To treat smallpoxPress ReleaseDrug Trials Snapshot</t>
  </si>
  <si>
    <t>https://www.accessdata.fda.gov/drugsatfda_docs/label/2018/208627s000lbl.pdf
 https://www.accessdata.fda.gov/drugsatfda_docs/appletter/2018/208627Orig1s000ltr.PDF
 https://www.accessdata.fda.gov/drugsatfda_docs/nda/2018/208627Orig1s000TOC.cfm</t>
  </si>
  <si>
    <t>encorafenib</t>
  </si>
  <si>
    <t>To treat unresectable or metastatic melanomaFDA AnnouncementDrug Trials Snapshot</t>
  </si>
  <si>
    <t>https://www.accessdata.fda.gov/drugsatfda_docs/label/2018/210496lbl.pdf
 https://www.accessdata.fda.gov/drugsatfda_docs/appletter/2018/210496Orig1s000ltr.pdf
 https://www.accessdata.fda.gov/drugsatfda_docs/nda/2018/210496Orig1s000TOC.cfm</t>
  </si>
  <si>
    <t>binimetinib</t>
  </si>
  <si>
    <t>https://www.accessdata.fda.gov/drugsatfda_docs/label/2018/210498lbl.pdf
 https://www.accessdata.fda.gov/drugsatfda_docs/appletter/2018/210498Orig1s000ltr.pdf
 https://www.accessdata.fda.gov/drugsatfda_docs/nda/2018/210498Orig1s000TOC.cfm</t>
  </si>
  <si>
    <t>plazomicin</t>
  </si>
  <si>
    <t>To treat adults with complicated urinary tract infectionsDrug Trials Snapshot</t>
  </si>
  <si>
    <t>https://www.accessdata.fda.gov/drugsatfda_docs/label/2018/210303Orig1s000lbl.pdf
 https://www.accessdata.fda.gov/drugsatfda_docs/appletter/2018/210303Orig1s000Ltr.pdf
 https://www.accessdata.fda.gov/drugsatfda_docs/nda/2018/210303Orig1s000TOC.cfm</t>
  </si>
  <si>
    <t>cannabidiol</t>
  </si>
  <si>
    <t>To treat rare, severe forms of epilepsyPress ReleaseDrug Trials Snapshot</t>
  </si>
  <si>
    <t>https://www.accessdata.fda.gov/drugsatfda_docs/label/2018/210365lbl.pdf
 https://www.accessdata.fda.gov/drugsatfda_docs/appletter/2018/210365Orig1s000Ltr.pdf
 https://www.accessdata.fda.gov/drugsatfda_docs/nda/2018/210365Orig1s000TOC.cfm</t>
  </si>
  <si>
    <t>moxidectin</t>
  </si>
  <si>
    <t>To treat onchocerciasis due to Onchocerca volvulus in patients aged 12 years and olderDrug Trials Snapshot</t>
  </si>
  <si>
    <t>https://www.accessdata.fda.gov/drugsatfda_docs/label/2018/210867lbl.pdf
 https://www.accessdata.fda.gov/drugsatfda_docs/appletter/2018/210867Orig1s000Ltr.pdf
 https://www.accessdata.fda.gov/drugsatfda_docs/nda/2018/210867Orig1s000TOC.cfm</t>
  </si>
  <si>
    <t>baricitinib</t>
  </si>
  <si>
    <t>To treat moderately to severely active rheumatoid arthritisDrug Trials Snapshot</t>
  </si>
  <si>
    <t>https://www.accessdata.fda.gov/drugsatfda_docs/label/2018/207924Orig1s000lbl.pdf
 https://www.accessdata.fda.gov/drugsatfda_docs/appletter/2018/207924Orig1s000ltr.pdf
 https://www.accessdata.fda.gov/drugsatfda_docs/nda/2018/207924Orig1s000TOC.cfm</t>
  </si>
  <si>
    <t>pegvaliase-pqpz</t>
  </si>
  <si>
    <t>To treat adults with a rare and serious genetic disease known as phenylketonuria (PKU)Press ReleaseDrug Trials Snapshot</t>
  </si>
  <si>
    <t>https://www.accessdata.fda.gov/drugsatfda_docs/label/2018/761079s000lbl.pdf
 https://www.accessdata.fda.gov/drugsatfda_docs/appletter/2018/761079Orig1s000ltr.pdf
 https://www.accessdata.fda.gov/drugsatfda_docs/nda/2018/761079Orig1s000TOC.cfm</t>
  </si>
  <si>
    <t>avatrombopag</t>
  </si>
  <si>
    <t>To treat low blood platelet count (thrombocytopenia) in adults with chronic liver disease who are scheduled to undergo a medical or dental procedurePress ReleaseDrug Trials Snapshot</t>
  </si>
  <si>
    <t>https://www.accessdata.fda.gov/drugsatfda_docs/label/2018/210238s000lbl.pdf
 https://www.accessdata.fda.gov/drugsatfda_docs/appletter/2018/210238Orig1s000ltr.pdf
 https://www.accessdata.fda.gov/drugsatfda_docs/nda/2018/210238Orig1s000TOC.cfm</t>
  </si>
  <si>
    <t>sodium zirconium cyclosilicate</t>
  </si>
  <si>
    <t>To treat hyperkalemiaDrug Trials Snapshot</t>
  </si>
  <si>
    <t>https://www.accessdata.fda.gov/drugsatfda_docs/label/2018/207078s000lbl.pdf
 https://www.accessdata.fda.gov/drugsatfda_docs/appletter/2018/207078Orig1s000ltr.pdf
 https://www.accessdata.fda.gov/drugsatfda_docs/nda/2018/207078Orig1s000TOC.cfm</t>
  </si>
  <si>
    <t>erenumab-aooe</t>
  </si>
  <si>
    <t>For the preventive treatment for migrainePress ReleaseDrug Trials Snapshot</t>
  </si>
  <si>
    <t>https://www.accessdata.fda.gov/drugsatfda_docs/label/2018/761077s000lbl.pdf
 https://www.accessdata.fda.gov/drugsatfda_docs/appletter/2018/761077Orig1s000ltr.pdf
 https://www.accessdata.fda.gov/drugsatfda_docs/nda/2018/761077Orig1s000TOC.cfm</t>
  </si>
  <si>
    <t>lofexidine hydrochloride</t>
  </si>
  <si>
    <t>For the non-opioid treatment for management of opioid withdrawal symptoms in adultsPress ReleaseDrug Trials Snapshot</t>
  </si>
  <si>
    <t>https://www.accessdata.fda.gov/drugsatfda_docs/label/2018/209229s000lbl.pdf
 https://www.accessdata.fda.gov/drugsatfda_docs/appletter/2018/209229Orig1s000ltr.pdf
 https://www.accessdata.fda.gov/drugsatfda_docs/nda/2018/209229Orig1s000TOC.cfm</t>
  </si>
  <si>
    <t>fosnetupitant and palonosetron</t>
  </si>
  <si>
    <t>To prevent acute and delayed nausea and vomiting associated with initial and repeat courses of highly emetogenic cancer chemotherapyDrug Trials Snapshot</t>
  </si>
  <si>
    <t>https://www.accessdata.fda.gov/drugsatfda_docs/label/2018/210493s000lbl.pdf
 https://www.accessdata.fda.gov/drugsatfda_docs/appletter/2018/210493Orig1s000ltr.pdf
 https://www.accessdata.fda.gov/drugsatfda_docs/nda/2018/210493Orig1s000ApprovTOC.cfm</t>
  </si>
  <si>
    <t>burosumab-twza</t>
  </si>
  <si>
    <t>To treat adults and children ages 1 year and older with x-linked hypophosphatemia (XLH), a rare, inherited form of ricketsPress ReleaseDrug Trials Snapshot</t>
  </si>
  <si>
    <t>https://www.accessdata.fda.gov/drugsatfda_docs/label/2018/761068s000lbl.pdf
 https://www.accessdata.fda.gov/drugsatfda_docs/appletter/2018/761068Orig1s000ltr.pdf
 https://www.accessdata.fda.gov/drugsatfda_docs/nda/2018/761068Orig1s000TOC.cfm</t>
  </si>
  <si>
    <t>fostamatinib</t>
  </si>
  <si>
    <t>To treat thrombocytopenia in adult patients with persistent or chronic immune thrombocytopenia (ITP)Drug Trials Snapshot</t>
  </si>
  <si>
    <t>https://www.accessdata.fda.gov/drugsatfda_docs/label/2018/209299lbl.pdf
 https://www.accessdata.fda.gov/drugsatfda_docs/appletter/2018/209299Orig1s000ltr.pdf
 https://www.accessdata.fda.gov/drugsatfda_docs/nda/2018/209299Orig1s000TOC.cfm</t>
  </si>
  <si>
    <t>tildrakizumab</t>
  </si>
  <si>
    <t>To treat adults with moderate-to-severe plaque psoriasis who are candidates for systemic therapy or phototherapyDrug Trials Snapshot</t>
  </si>
  <si>
    <t>https://www.accessdata.fda.gov/drugsatfda_docs/label/2018/761067s000lbl.pdf
 https://www.accessdata.fda.gov/drugsatfda_docs/appletter/2018/761067Orig1s000REPLACEMENT_ltr.pdf
 https://www.accessdata.fda.gov/drugsatfda_docs/nda/2018/761067Orig1s000TOC.cfm</t>
  </si>
  <si>
    <t>ibalizumab-uiyk</t>
  </si>
  <si>
    <t>To treat HIV patients who have limited treatment optionsPress ReleaseDrug Trials Snapshot</t>
  </si>
  <si>
    <t>https://www.accessdata.fda.gov/drugsatfda_docs/label/2018/761065lbl.pdf
 https://www.accessdata.fda.gov/drugsatfda_docs/appletter/2018/761065Orig1s000ltr.pdf
 https://www.accessdata.fda.gov/drugsatfda_docs/nda/2018/TROGARZO_761065_TOC.cfm</t>
  </si>
  <si>
    <t>apalutamide</t>
  </si>
  <si>
    <t>To treat a certain type of prostate cancer using novel clinical trial endpointPress ReleaseDrug Trials Snapshot</t>
  </si>
  <si>
    <t>https://www.accessdata.fda.gov/drugsatfda_docs/label/2018/210951s000lbl.pdf
 https://www.accessdata.fda.gov/drugsatfda_docs/appletter/2018/210951Orig1s000ltr.pdf
 https://www.accessdata.fda.gov/drugsatfda_docs/nda/2018/Erleada_210951_toc.cfm</t>
  </si>
  <si>
    <t>tezacaftor; ivacaftor</t>
  </si>
  <si>
    <t>To treat cystic fibrosis in patients age 12 years and olderDrug Trials Snapshot</t>
  </si>
  <si>
    <t>https://www.accessdata.fda.gov/drugsatfda_docs/label/2018/210491lbl.pdf
 https://www.accessdata.fda.gov/drugsatfda_docs/appletter/2018/210491Orig1s000ltr.pdf
 https://www.accessdata.fda.gov/drugsatfda_docs/nda/2018/210491Orig1s000TOC.cfm</t>
  </si>
  <si>
    <t>bictegravir, embitcitabine, tenofovir alafenamide</t>
  </si>
  <si>
    <t>To treat infection in adults who have no antiretroviral treatment history or to replace the current antiretroviral regimenDrug Trials Snapshot</t>
  </si>
  <si>
    <t>https://www.accessdata.fda.gov/drugsatfda_docs/label/2018/210251s000lbl.pdf
 https://www.accessdata.fda.gov/drugsatfda_docs/appletter/2018/210251Orig1s000Ltr.pdf
 https://www.accessdata.fda.gov/drugsatfda_docs/nda/2018/210251Orig1s000TOC.cfm</t>
  </si>
  <si>
    <t>lutetium Lu 177 dotatate</t>
  </si>
  <si>
    <t>To treat a type of cancer that affects the pancreas or gastrointestinal tract called gastroenteropancreatic neuroendocrine tumors (GEP-NETs).Press ReleaseDrug Trials Snapshot</t>
  </si>
  <si>
    <t>https://www.accessdata.fda.gov/drugsatfda_docs/label/2018/208700s000lbl.pdf
 https://www.accessdata.fda.gov/drugsatfda_docs/appletter/2018/208700Orig1s000ltr.pdf
 https://www.accessdata.fda.gov/drugsatfda_docs/nda/2018/208700Orig1s000TOC.cfm</t>
  </si>
  <si>
    <t>angiotensin II</t>
  </si>
  <si>
    <t>To increase blood pressure in adults with septic or other distributive shockPress ReleaseDrug Trials Snapshot</t>
  </si>
  <si>
    <t>https://www.accessdata.fda.gov/drugsatfda_docs/label/2017/209360s000lbl.pdf
 https://www.accessdata.fda.gov/drugsatfda_docs/appletter/2017/209360Orig1s000ltr.pdf
 https://www.accessdata.fda.gov/drugsatfda_docs/nda/2017/209360Orig1s000TOC.cfm</t>
  </si>
  <si>
    <t>macimorelin acetate</t>
  </si>
  <si>
    <t>For the diagnosis of adult growth hormone deficiencyDrug Trials Snapshot</t>
  </si>
  <si>
    <t>https://www.accessdata.fda.gov/drugsatfda_docs/label/2017/205598s000lbl.pdf
 https://www.accessdata.fda.gov/drugsatfda_docs/appletter/2017/205598Orig1s000ltr.pdf
 https://www.accessdata.fda.gov/drugsatfda_docs/nda/2017/205598Orig1s000TOC.cfm</t>
  </si>
  <si>
    <t>ertugliflozin</t>
  </si>
  <si>
    <t>To improve glycemic control in adults with type 2 diabetes mellitusDrug Trials Snapshot</t>
  </si>
  <si>
    <t>https://www.accessdata.fda.gov/drugsatfda_docs/label/2017/209803s000lbl.pdf
 https://www.accessdata.fda.gov/drugsatfda_docs/appletter/2017/209803Orig1s000ltr.pdf
 https://www.accessdata.fda.gov/drugsatfda_docs/nda/2017/209803,209805,209806Orig1s000TOC.cfm</t>
  </si>
  <si>
    <t>netarsudil</t>
  </si>
  <si>
    <t>To treat glaucoma or ocular hypertensionDrug Trials Snapshot</t>
  </si>
  <si>
    <t>httpS://www.accessdata.fda.gov/drugsatfda_docs/label/2017/208254lbl.pdf
 https://www.accessdata.fda.gov/drugsatfda_docs/appletter/2017/208254Orig1s000ltr.pdf
 https://www.accessdata.fda.gov/drugsatfda_docs/nda/2017/208254Orig1s000TOC.cfm</t>
  </si>
  <si>
    <t>ozenoxacin</t>
  </si>
  <si>
    <t>To treat impetigoDrug Trials Snapshot</t>
  </si>
  <si>
    <t>https://www.accessdata.fda.gov/drugsatfda_docs/label/2017/208945lbl.pdf
 https://www.accessdata.fda.gov/drugsatfda_docs/appletter/2017/208945Orig1s000ltr.pdf
 https://www.accessdata.fda.gov/drugsatfda_docs/nda/2017/208945Orig1s000TOC.cfm</t>
  </si>
  <si>
    <t>semaglutide</t>
  </si>
  <si>
    <t>https://www.accessdata.fda.gov/drugsatfda_docs/label/2017/209637lbl.pdf
 https://www.accessdata.fda.gov/drugsatfda_docs/appletter/2017/209637s000ltr.pdf
 https://www.accessdata.fda.gov/drugsatfda_docs/nda/2017/209637Orig1s000TOC.cfm</t>
  </si>
  <si>
    <t>emicizumab</t>
  </si>
  <si>
    <t>To prevent or reduce the frequency of bleeding episodes in adult and pediatric patients with hemophilia A who have developed antibodies called Factor VIII (FVIII) inhibitors.Press ReleaseDrug Trials Snapshot</t>
  </si>
  <si>
    <t>https://www.accessdata.fda.gov/drugsatfda_docs/label/2017/761083s000lbl.pdf
 https://www.accessdata.fda.gov/drugsatfda_docs/appletter/2017/761083Orig1s000ltr.pdf
 https://www.accessdata.fda.gov/drugsatfda_docs/nda/2017/761083Orig1s000TOC.cfm</t>
  </si>
  <si>
    <t>vestronidase alfa-vjbk</t>
  </si>
  <si>
    <t>To treat pediatric and adult patients with an inherited metabolic condition called mucopolysaccharidosis type VII (MPS VII), also known as Sly syndrome.Press ReleaseDrug Trials Snapshot</t>
  </si>
  <si>
    <t>https://www.accessdata.fda.gov/drugsatfda_docs/label/2017/761047s000lbl.pdf
 https://www.accessdata.fda.gov/drugsatfda_docs/appletter/2017/761047Orig1s000ltr.pdf
 https://www.accessdata.fda.gov/drugsatfda_docs/nda/2017/761047Orig1s000TOC.cfm</t>
  </si>
  <si>
    <t>benralizumab</t>
  </si>
  <si>
    <t>For add-on maintenance treatment of patients with severe asthma aged 12 years and older, and with an eosinophilic phenotype Drug Trials Snapshot</t>
  </si>
  <si>
    <t>https://www.accessdata.fda.gov/drugsatfda_docs/label/2017/761070s000lbl.pdf
 https://www.accessdata.fda.gov/drugsatfda_docs/appletter/2017/761070Orig1s000ltr.pdf
 https://www.accessdata.fda.gov/drugsatfda_docs/nda/2017/761070Orig1s000TOC.cfm</t>
  </si>
  <si>
    <t>letermovir</t>
  </si>
  <si>
    <t>To prevent infection after bone marrow transplantDrug Trials Snapshot</t>
  </si>
  <si>
    <t>https://www.accessdata.fda.gov/drugsatfda_docs/label/2017/209939Orig1s000,209940Orig1s000lbl.pdf
 https://www.accessdata.fda.gov/drugsatfda_docs/appletter/2017/209939Orig1s000,209940Orig1s000ltr.pdf
 https://www.accessdata.fda.gov/drugsatfda_docs/nda/2017/209939Orig1s000,209940Orig1s000TOC.cfm</t>
  </si>
  <si>
    <t>latanoprostene bunod ophthalmic solution</t>
  </si>
  <si>
    <t>To treat intraocular pressure in patients with open-angle glaucoma or ocular hypertension.Drug Trials Snapshot</t>
  </si>
  <si>
    <t>https://www.accessdata.fda.gov/drugsatfda_docs/label/2017/207795Orig1s000lbl.pdf
 https://www.accessdata.fda.gov/drugsatfda_docs/appletter/2017/207795Orig1s000ltr.pdf
 https://www.accessdata.fda.gov/drugsatfda_docs/nda/2017/207795Orig1s000TOC.cfm</t>
  </si>
  <si>
    <t>acalabrutinib</t>
  </si>
  <si>
    <t>To treat adults with mantle cell lymphomaPress ReleaseDrug Trials Snapshot</t>
  </si>
  <si>
    <t>https://www.accessdata.fda.gov/drugsatfda_docs/label/2017/210259s000lbl.pdf
 https://www.accessdata.fda.gov/drugsatfda_docs/appletter/2017/210259Orig1s000ltr.pdf
 https://www.accessdata.fda.gov/drugsatfda_docs/nda/2017/210259Orig1s000TOC.cfm</t>
  </si>
  <si>
    <t>abemaciclib</t>
  </si>
  <si>
    <t>To treat certain advanced or metastatic breast cancersPress ReleaseDrug Trials Snapshot</t>
  </si>
  <si>
    <t>https://www.accessdata.fda.gov/drugsatfda_docs/label/2017/208716Orig1s000lbl.pdf
 https://www.accessdata.fda.gov/drugsatfda_docs/appletter/2017/208716Orig1s000ltr.pdf
 https://www.accessdata.fda.gov/drugsatfda_docs/nda/2017/208716Orig1s000TOC.cfm</t>
  </si>
  <si>
    <t>secnidazole</t>
  </si>
  <si>
    <t>To treat bacterial vaginosisDrug Trials Snapshot</t>
  </si>
  <si>
    <t>https://www.accessdata.fda.gov/drugsatfda_docs/label/2017/209363s000lbl.pdf
 https://www.accessdata.fda.gov/drugsatfda_docs/appletter/2017/209363Orig1s000Ltr.pdf
 https://www.accessdata.fda.gov/drugsatfda_docs/nda/2017/209363Orig1s000TOC.cfm</t>
  </si>
  <si>
    <t>copanlisib</t>
  </si>
  <si>
    <t>To treat adults with relapsed follicular lymphomaPress ReleaseDrug Trials Snapshot</t>
  </si>
  <si>
    <t>https://www.accessdata.fda.gov/drugsatfda_docs/label/2017/209936s000lbl.pdf
 https://www.accessdata.fda.gov/drugsatfda_docs/appletter/2017/209936Orig1s000Ltr.pdf
 https://www.accessdata.fda.gov/drugsatfda_docs/nda/2017/209936Orig1_toc.cfm</t>
  </si>
  <si>
    <t>benznidazole</t>
  </si>
  <si>
    <t>To treat children ages 2 to 12 years old with Chagas diseasePress ReleaseDrug Trials Snapshot</t>
  </si>
  <si>
    <t>https://www.accessdata.fda.gov/drugsatfda_docs/label/2017/209570lbl.pdf
 https://www.accessdata.fda.gov/drugsatfda_docs/appletter/2017/209570Orig1s000ltr.pdf
 https://www.accessdata.fda.gov/drugsatfda_docs/nda/2017/209570Orig1s000TOC.cfm</t>
  </si>
  <si>
    <t>meropenem and vaborbactam</t>
  </si>
  <si>
    <t>To treat adults with complicated urinary tract infectionsPress ReleaseDrug Trials Snapshot</t>
  </si>
  <si>
    <t>https://www.accessdata.fda.gov/drugsatfda_docs/label/2017/209776lbl.pdf
 https://www.accessdata.fda.gov/drugsatfda_docs/appletter/2017/209776Orig1s000ltr.pdf
 https://www.accessdata.fda.gov/drugsatfda_docs/nda/2017/209776Orig1s000TOC.cfm</t>
  </si>
  <si>
    <t>https://www.fda.gov/STIC/</t>
  </si>
  <si>
    <t>inotuzumab ozogamicin</t>
  </si>
  <si>
    <t>To treat adults with relapsed or refractory acute lymphoblastic leukemiaPress ReleaseDrug Trials Snapshot</t>
  </si>
  <si>
    <t>https://www.accessdata.fda.gov/drugsatfda_docs/label/2017/761040s000lbl.pdf
 https://www.accessdata.fda.gov/drugsatfda_docs/appletter/2017/761040Orig1s000ltr.pdf
 https://www.accessdata.fda.gov/drugsatfda_docs/nda/2017/761040Orig1s000TOC.cfm</t>
  </si>
  <si>
    <t>glecaprevir and pibrentasvir</t>
  </si>
  <si>
    <t>To treat adults with chronic hepatitis C virusPress ReleaseDrug Trials Snapshot</t>
  </si>
  <si>
    <t>https://www.accessdata.fda.gov/drugsatfda_docs/label/2017/209394s000lbl.pdf
 https://www.accessdata.fda.gov/drugsatfda_docs/appletter/2017/209394Orig1s000ltr.pdf
 https://www.accessdata.fda.gov/drugsatfda_docs/nda/2017/209394_toc.cfm
 https://www.accessdata.fda.gov/drugsatfda_docs/nda/2017/209394Orig1s000SumR.pdf</t>
  </si>
  <si>
    <t>enasidenib</t>
  </si>
  <si>
    <t>To treat relapsed or refractory acute myeloid leukemiaPress ReleaseDrug Trials Snapshot</t>
  </si>
  <si>
    <t>https://www.accessdata.fda.gov/drugsatfda_docs/label/2017/209606s000lbl.pdf
 https://www.accessdata.fda.gov/drugsatfda_docs/appletter/2017/209606Orig1s000.pdf
 https://www.accessdata.fda.gov/drugsatfda_docs/nda/2017/209606Orig1s000TOC.cfm</t>
  </si>
  <si>
    <t>sofosbuvir, velpatasvir and voxilaprevir</t>
  </si>
  <si>
    <t>https://www.accessdata.fda.gov/drugsatfda_docs/label/2017/209195s000lbl.pdf
 https://www.accessdata.fda.gov/drugsatfda_docs/appletter/2017/209195Orig1s000ltr.pdf
 https://www.accessdata.fda.gov/drugsatfda_docs/nda/2017/209195_toc.cfm</t>
  </si>
  <si>
    <t>neratinib maleate</t>
  </si>
  <si>
    <t>To reduce the risk of breast cancer returningPress ReleaseDrug Trials Snapshot</t>
  </si>
  <si>
    <t>https://www.accessdata.fda.gov/drugsatfda_docs/label/2017/208051s000lbl.pdf
 https://www.accessdata.fda.gov/drugsatfda_docs/appletter/2017/208051Orig1s000Ltr.pdf
 https://www.accessdata.fda.gov/drugsatfda_docs/nda/2017/208051Orig1s000TOC.cfm</t>
  </si>
  <si>
    <t>July 19</t>
  </si>
  <si>
    <t>guselkumab</t>
  </si>
  <si>
    <t>For the treatment of adult patients with moderate-to-severe plaque psoriasisDrug Trials Snapshot</t>
  </si>
  <si>
    <t>https://www.accessdata.fda.gov/drugsatfda_docs/label/2017/761061s000lbl.pdf
 https://www.accessdata.fda.gov/drugsatfda_docs/appletter/2017/761061Orig1s000ltr.pdf
 https://www.accessdata.fda.gov/drugsatfda_docs/nda/2017/761061Orig1s000TOC.cfm</t>
  </si>
  <si>
    <t>betrixaban</t>
  </si>
  <si>
    <t>For the prophylaxis of venous thromboembolism (VTE) in adult patients hospitalized for an acute medical illnessDrug Trials Snapshot</t>
  </si>
  <si>
    <t>https://www.accessdata.fda.gov/drugsatfda_docs/label/2017/208383s000lbl.pdf
 https://www.accessdata.fda.gov/drugsatfda_docs/appletter/2017/208383Orig1s000ltr.pdf
 https://www.accessdata.fda.gov/drugsatfda_docs/nda/2017/208383Orig1s000TOC.cfm</t>
  </si>
  <si>
    <t>delafloxacin</t>
  </si>
  <si>
    <t>To treat patients with acute bacterial skin infectionsDrug Trials Snapshot</t>
  </si>
  <si>
    <t>https://www.accessdata.fda.gov/drugsatfda_docs/label/2017/208610s000,208611s000lbl.pdf
 https://www.accessdata.fda.gov/drugsatfda_docs/appletter/2017/208610Orig1s000,208611Orig1s000ltr.pdf
 https://www.accessdata.fda.gov/drugsatfda_docs/nda/2017/208610Orig1s000,208611Orig1s000TOC.cfm</t>
  </si>
  <si>
    <t>sarilumab</t>
  </si>
  <si>
    <t>To treat adult rheumatoid arthritisDrug Trials Snapshot</t>
  </si>
  <si>
    <t>https://www.accessdata.fda.gov/drugsatfda_docs/label/2017/761037s000lbl.pdf
 https://www.accessdata.fda.gov/drugsatfda_docs/appletter/2017/761037Orig1s000ltr.pdf
 https://www.accessdata.fda.gov/drugsatfda_docs/nda/2017/761037Orig1s000TOC.cfm</t>
  </si>
  <si>
    <t>edaravone</t>
  </si>
  <si>
    <t>To treat patients with amyotrophic lateral sclerosis (ALS)Press ReleaseDrug Trials Snapshot</t>
  </si>
  <si>
    <t>https://www.accessdata.fda.gov/drugsatfda_docs/label/2017/209176lbl.pdf
 https://www.accessdata.fda.gov/drugsatfda_docs/appletter/2017/209176Orig1s000ltr.pdf
 https://www.accessdata.fda.gov/drugsatfda_docs/nda/2017/209176Orig1s000TOC.cfm</t>
  </si>
  <si>
    <t>durvalumab</t>
  </si>
  <si>
    <t>To treat patients with locally advanced or metastatic urothelial carcinomaWeb PostDrug Trials Snapshot</t>
  </si>
  <si>
    <t>https://www.accessdata.fda.gov/drugsatfda_docs/label/2017/761069s000lbl.pdf
 https://www.accessdata.fda.gov/drugsatfda_docs/appletter/2017/761069Orig1s000ltr.pdf
 https://www.accessdata.fda.gov/drugsatfda_docs/nda/2017/761069Orig1s000TOC.cfm</t>
  </si>
  <si>
    <t>abaloparatide</t>
  </si>
  <si>
    <t>To treat osteoporosis in postmenopausal women at high risk of fracture or those who have failed other therapiesDrug Trials Snapshot</t>
  </si>
  <si>
    <t>https://www.accessdata.fda.gov/drugsatfda_docs/label/2017/208743lbl.pdf
 https://www.accessdata.fda.gov/drugsatfda_docs/appletter/2017/208743Orig1s000ltr.pdf
 https://www.accessdata.fda.gov/drugsatfda_docs/nda/2017/208743Orig1s000TOC.cfm
 https://www.accessdata.fda.gov/drugsatfda_docs/nda/2017/208743Orig1s000SumR.pdf</t>
  </si>
  <si>
    <t>midostaurin</t>
  </si>
  <si>
    <t>To treat acute myeloid leukemia, advanced systemic mastocytosisPress ReleaseDrug Trials Snapshot for advanced systemic mastocytosisDrug Trials Snapshot for acute Myeloid leukemia</t>
  </si>
  <si>
    <t>https://www.accessdata.fda.gov/drugsatfda_docs/label/2017/207997Orig1Orig2s000lbl.pdf
 https://www.accessdata.fda.gov/drugsatfda_docs/appletter/2017/207997Orig1s000ltr.pdf
 https://www.accessdata.fda.gov/drugsatfda_docs/nda/2017/207997Orig1Orig2s000TOC.cfm</t>
  </si>
  <si>
    <t>brigatinib</t>
  </si>
  <si>
    <t>To treat patients with anaplastic lymphoma kinase (ALK)-positive metastatic non-small cell lung cancer (NSCLC) who have progressed on or are intolerant to crizotinibDrug Trials Snapshot</t>
  </si>
  <si>
    <t>https://www.accessdata.fda.gov/drugsatfda_docs/label/2017/208772lbl.pdf
 https://www.accessdata.fda.gov/drugsatfda_docs/appletter/2017/208772Orig1s000ltr.pdf
 https://www.accessdata.fda.gov/drugsatfda_docs/nda/2017/208772Orig1s000TOC.cfm</t>
  </si>
  <si>
    <t>cerliponase alfa</t>
  </si>
  <si>
    <t>To treat a specific form of Batten diseasePress ReleaseDrug Trials Snapshot</t>
  </si>
  <si>
    <t>https://www.accessdata.fda.gov/drugsatfda_docs/label/2017/761052lbl.pdf
 https://www.accessdata.fda.gov/drugsatfda_docs/appletter/2017/761052Orig1s000ltr.pdf
 https://www.accessdata.fda.gov/drugsatfda_docs/nda/2017/761052Orig1s000TOC.cfm</t>
  </si>
  <si>
    <t>valbenazine</t>
  </si>
  <si>
    <t>To treat adults with tardive dyskinesia Press Release  Drug Trials Snapshot</t>
  </si>
  <si>
    <t>https://www.accessdata.fda.gov/drugsatfda_docs/label/2017/209241lbl.pdf
 https://www.accessdata.fda.gov/drugsatfda_docs/appletter/2017/209241Orig1s000ltr.pdf
 https://www.accessdata.fda.gov/drugsatfda_docs/nda/2017/209241Orig1s000TOC.cfm
 https://www.accessdata.fda.gov/drugsatfda_docs/nda/2017/209241Orig1s000SumR.pdf</t>
  </si>
  <si>
    <t>deutetrabenazine</t>
  </si>
  <si>
    <t>For the treatment of chorea associated with Huntington’s disease Drug Trials Snapshot</t>
  </si>
  <si>
    <t>https://www.accessdata.fda.gov/drugsatfda_docs/label/2017/208082s000lbl.pdf
 https://www.accessdata.fda.gov/drugsatfda_docs/appletter/2017/208082Orig1s000ltr.pdf
 https://www.accessdata.fda.gov/drugsatfda_docs/nda/2017/208082Orig1s000TOC.cfm</t>
  </si>
  <si>
    <t>ocrelizumab</t>
  </si>
  <si>
    <t>To treat patients with relapsing and primary progressive forms of multiple sclerosisPress ReleaseDrug Trials Snapshot</t>
  </si>
  <si>
    <t>https://www.accessdata.fda.gov/drugsatfda_docs/label/2017/761053lbl.pdf
 https://www.accessdata.fda.gov/drugsatfda_docs/appletter/2017/761053Orig1s000ltr.pdf
 https://www.accessdata.fda.gov/drugsatfda_docs/nda/2017/761053Orig1s000TOC.cfm</t>
  </si>
  <si>
    <t>dupilumab</t>
  </si>
  <si>
    <t>To treat adults with moderate-to-severe eczema (atopic dermatitis)Press ReleaseDrug Trials Snapshot</t>
  </si>
  <si>
    <t>https://www.accessdata.fda.gov/drugsatfda_docs/label/2017/761055lbl.pdf
 https://www.accessdata.fda.gov/drugsatfda_docs/appletter/2017/761055Orig1s000ltr.pdf
 https://www.accessdata.fda.gov/drugsatfda_docs/nda/2017/761055Orig1s000TOC.cfm</t>
  </si>
  <si>
    <t>niraparib</t>
  </si>
  <si>
    <t>For the maintenance treatment for recurrent epithelial ovarian, fallopian tube or primary peritoneal cancersPress ReleaseDrug Trials Snapshot</t>
  </si>
  <si>
    <t>httpS://www.accessdata.fda.gov/drugsatfda_docs/label/2017/208447lbl.pdf
 https://www.accessdata.fda.gov/drugsatfda_docs/appletter/2017/208447Orig1s000Ltr.pdf
 https://www.accessdata.fda.gov/drugsatfda_docs/nda/2017/208447_zejula_toc.cfm</t>
  </si>
  <si>
    <t>naldemedine</t>
  </si>
  <si>
    <t>For the treatment of opioid-induced constipationDrug Trials Snapshot</t>
  </si>
  <si>
    <t>https://www.accessdata.fda.gov/drugsatfda_docs/label/2017/208854s000lbl.pdf
 https://www.accessdata.fda.gov/drugsatfda_docs/appletter/2017/208854Orig1s000ltr.pdf
 https://www.accessdata.fda.gov/drugsatfda_docs/nda/2017/208854Orig1s000TOC.cfm</t>
  </si>
  <si>
    <t>avelumab</t>
  </si>
  <si>
    <t>To treat metastatic Merkel cell carcinomaPress ReleaseDrug Trials Snapshot</t>
  </si>
  <si>
    <t>https://www.accessdata.fda.gov/drugsatfda_docs/label/2017/761049s000lbl.pdf 
 https://www.accessdata.fda.gov/drugsatfda_docs/appletter/2017/761049Orig1s000ltredt.pdf
 https://www.accessdata.fda.gov/drugsatfda_docs/nda/2017/761049Orig1s000TOC.cfm</t>
  </si>
  <si>
    <t>safinamide</t>
  </si>
  <si>
    <t>To treat Parkinson’s diseasePress ReleaseDrug Trials Snapshot</t>
  </si>
  <si>
    <t>https://www.accessdata.fda.gov/drugsatfda_docs/label/2017/207145lbl.pdf
 https://www.accessdata.fda.gov/drugsatfda_docs/appletter/2017/207145Orig1s000ltr.pdf
 https://www.accessdata.fda.gov/drugsatfda_docs/nda/2017/207145Orig1s000TOC.cfm</t>
  </si>
  <si>
    <t>ribociclib</t>
  </si>
  <si>
    <t>To treat postmenopausal women with a type of advanced breast cancerDrug Trials Snapshot</t>
  </si>
  <si>
    <t>https://www.accessdata.fda.gov/drugsatfda_docs/label/2017/209092s000lbl.pdf
 https://www.accessdata.fda.gov/drugsatfda_docs/appletter/2017/209092s000ltredt.pdf
 https://www.accessdata.fda.gov/drugsatfda_docs/nda/2017/209092Orig1s000TOC.cfm</t>
  </si>
  <si>
    <t>telotristat ethyl</t>
  </si>
  <si>
    <t>To treat carcinoid syndrome diarrheaPress ReleaseDrug Trials Snapshot</t>
  </si>
  <si>
    <t>https://www.accessdata.fda.gov/drugsatfda_docs/label/2017/208794s000lbl.pdf
 https://www.accessdata.fda.gov/drugsatfda_docs/appletter/2017/208794Orig1s00ltredt.pdf
 https://www.accessdata.fda.gov/drugsatfda_docs/nda/2017/208794Orig1s000TOC.cfm</t>
  </si>
  <si>
    <t>brodalumab</t>
  </si>
  <si>
    <t>To treat adults with moderate-to-severe plaque psoriasisPress ReleaseDrug Trials Snapshot</t>
  </si>
  <si>
    <t>https://www.accessdata.fda.gov/drugsatfda_docs/label/2017/761032lbl.pdf
 https://www.accessdata.fda.gov/drugsatfda_docs/appletter/2017/761032Orig1s000Ltr.pdf
 https://www.accessdata.fda.gov/drugsatfda_docs/nda/2017/761032Orig1s000TOC.cfm</t>
  </si>
  <si>
    <t>deflazacort</t>
  </si>
  <si>
    <t>To treat patients age 5 years and older with Duchenne muscular dystrophy (DMD)Press ReleaseDrug Trials Snapshot</t>
  </si>
  <si>
    <t>https://www.accessdata.fda.gov/drugsatfda_docs/label/2017/208684s000,208685s000lbl.pdf
 https://www.accessdata.fda.gov/drugsatfda_docs/appletter/2017/208684Orig1s000,208685Orig1s000ltr.pdf
 https://www.accessdata.fda.gov/drugsatfda_docs/nda/2017/208684,208685Orig1s000TOC.cfm</t>
  </si>
  <si>
    <t>etelcalcetide</t>
  </si>
  <si>
    <t>To treat secondary hyperparathyroidism in adult patients with chronic kidney disease undergoing dialysisDrug Trials Snapshot</t>
  </si>
  <si>
    <t>https://www.accessdata.fda.gov/drugsatfda_docs/label/2017/208325Orig1s000Lbledt.pdf
 https://www.accessdata.fda.gov/drugsatfda_docs/appletter/2017/208325Orig1s000ltr.pdf
 https://www.accessdata.fda.gov/drugsatfda_docs/nda/2017/208325Orig1s000TOC.cfm</t>
  </si>
  <si>
    <t>plecanatide</t>
  </si>
  <si>
    <t>To treat Chronic Idiopathic Constipation (CIC) in adult patients.Press ReleaseDrug Trials Snapshot</t>
  </si>
  <si>
    <t>https://www.accessdata.fda.gov/drugsatfda_docs/label/2017/208745lbl.pdf
 https://www.accessdata.fda.gov/drugsatfda_docs/appletter/2017/208745Orig1s000ltr.pdf
 https://www.accessdata.fda.gov/drugsatfda_docs/nda/2017/208745Orig1s000TOC.cfm</t>
  </si>
  <si>
    <t>nusinersen</t>
  </si>
  <si>
    <t>To treat children and adults with spinal muscular atrophy (SMA)Press ReleaseDrug Trials Snapshot</t>
  </si>
  <si>
    <t>https://www.accessdata.fda.gov/drugsatfda_docs/label/2016/209531lbl.pdf
 https://www.accessdata.fda.gov/drugsatfda_docs/appletter/2016/209531Orig1s000ltr.pdf
 https://www.accessdata.fda.gov/drugsatfda_docs/nda/2016/209531Orig1s000TOC.cfm</t>
  </si>
  <si>
    <t>rucaparib</t>
  </si>
  <si>
    <t>To treat women with a certain type of ovarian cancerPress Release Drug Trials Snapshot</t>
  </si>
  <si>
    <t>https://www.accessdata.fda.gov/drugsatfda_docs/label/2016/209115s000lbl.pdf
 https://www.accessdata.fda.gov/drugsatfda_docs/appletter/2016/209115Orig1s000ltr.pdf
 https://www.accessdata.fda.gov/drugsatfda_docs/nda/2016/209115Orig1s000TOC.cfm</t>
  </si>
  <si>
    <t>crisaborole</t>
  </si>
  <si>
    <t>To treat mild to moderate eczema (atopic dermatitis) in patients two years of age and olderPress ReleaseDrug Trials Snapshot</t>
  </si>
  <si>
    <t>https://www.accessdata.fda.gov/drugsatfda_docs/label/2016/207695s000lbl.pdf
 https://www.accessdata.fda.gov/drugsatfda_docs/appletter/2016/207695Orig1s000ltr.pdf
 https://www.accessdata.fda.gov/drugsatfda_docs/nda/2016/207695Orig1s000TOC.cfm</t>
  </si>
  <si>
    <t>bezlotoxumab</t>
  </si>
  <si>
    <t>To reduce the recurrence of Clostridium difficile infection in patients aged 18 years or olderDrug Trials Snapshot</t>
  </si>
  <si>
    <t>https://www.accessdata.fda.gov/drugsatfda_docs/label/2016/761046s000lbl.pdf
 https://www.accessdata.fda.gov/drugsatfda_docs/appletter/2016/761046Orig1s000ltr.pdf
 https://www.accessdata.fda.gov/drugsatfda_docs/nda/2016/761046_toc.cfm
 https://www.accessdata.fda.gov/drugsatfda_docs/nda/2016/761046Orig1s000SumR.pdf</t>
  </si>
  <si>
    <t>olaratumab</t>
  </si>
  <si>
    <t>To treat adults with certain types of soft tissue sarcomaPress Release Drug Trials Snapshot</t>
  </si>
  <si>
    <t>https://www.accessdata.fda.gov/drugsatfda_docs/label/2016/761038lbl.pdf
 https://www.accessdata.fda.gov/drugsatfda_docs/appletter/2016/761038Orig1s000ltr.pdf
 https://www.accessdata.fda.gov/drugsatfda_docs/nda/2016/761038Orig1s000TOC.cfm</t>
  </si>
  <si>
    <t>eteplirsen</t>
  </si>
  <si>
    <t>To treat patients with Duchenne muscular dystrophyPress ReleaseDrug Trials Snapshot</t>
  </si>
  <si>
    <t>https://www.accessdata.fda.gov/drugsatfda_docs/label/2016/206488lbl.pdf
 https://www.accessdata.fda.gov/drugsatfda_docs/appletter/2016/206488Orig1s000ltr.pdf
 https://www.accessdata.fda.gov/drugsatfda_docs/nda/2016/206488_TOC.cfm
 https://www.accessdata.fda.gov/drugsatfda_docs/nda/2016/206488_summary review_Redacted.pdf</t>
  </si>
  <si>
    <t>lixisenatide</t>
  </si>
  <si>
    <t>To improve glycemic control (blood sugar levels)Press ReleaseDrug Trials Snapshot</t>
  </si>
  <si>
    <t>https://www.accessdata.fda.gov/drugsatfda_docs/label/2016/208471Orig1s000lbl.pdf
 https://www.accessdata.fda.gov/drugsatfda_docs/appletter/2016/208471Orig1s000ltr.pdf
 https://www.accessdata.fda.gov/drugsatfda_docs/nda/2016/208471Orig1s000TOC.cfm</t>
  </si>
  <si>
    <t>lifitegrast ophthalmic solution</t>
  </si>
  <si>
    <t>To treat the signs and symptoms of dry eye diseasePress ReleaseDrug Trials Snapshot</t>
  </si>
  <si>
    <t>https://www.accessdata.fda.gov/drugsatfda_docs/label/2016/208073s000lbl.pdf
 https://www.accessdata.fda.gov/drugsatfda_docs/appletter/2016/208073Orig1s000ltr.pdf
 https://www.accessdata.fda.gov/drugsatfda_docs/nda/2016/208073Orig1s000TOC.cfm</t>
  </si>
  <si>
    <t>sofosbuvir and velpatasvir</t>
  </si>
  <si>
    <t>To treat all six major forms of hepatitis C virusPress ReleaseDrug Trials Snapshot</t>
  </si>
  <si>
    <t>https://www.accessdata.fda.gov/drugsatfda_docs/label/2016/208341s000lbl.pdf
 https://www.accessdata.fda.gov/drugsatfda_docs/appletter/2016/208341Orig1s000ltr.pdf
 https://www.accessdata.fda.gov/drugsatfda_docs/nda/2016/208341Orig1s000TOC.cfm</t>
  </si>
  <si>
    <t>gallium Ga 68 dotatate</t>
  </si>
  <si>
    <t>A diagnostic imaging agent to detect rare neuroendocrine tumorsPress ReleaseDrug Trials Snapshot</t>
  </si>
  <si>
    <t>https://www.accessdata.fda.gov/drugsatfda_docs/label/2016/208547s000lbl.pdf
 https://www.accessdata.fda.gov/drugsatfda_docs/appletter/2016/208547Orig1s000ltr.pdf
 https://www.accessdata.fda.gov/drugsatfda_docs/nda/2016/208547Orig1s000TOC.cfm
 https://www.accessdata.fda.gov/drugsatfda_docs/nda/2016/208547Orig1s000SumR.pdf</t>
  </si>
  <si>
    <t>fluciclovine F 18</t>
  </si>
  <si>
    <t>A  new diagnostic imaging agent to detect recurrent prostate cancerPress releaseDrug Trials Snapshot</t>
  </si>
  <si>
    <t>https://www.accessdata.fda.gov/drugsatfda_docs/label/2016/208054s000lbl.pdf
 https://www.accessdata.fda.gov/drugsatfda_docs/appletter/2016/208054Orig1s000ltr.pdf
 https://www.accessdata.fda.gov/drugsatfda_docs/nda/2016/208054Orig1s000TOC.cfm
 https://www.accessdata.fda.gov/drugsatfda_docs/nda/2016/208054Orig1s000SumR.pdf</t>
  </si>
  <si>
    <t>obeticholic acid</t>
  </si>
  <si>
    <t>To treat rare, chronic liver diseasePress releaseDrug Trials Snapshot</t>
  </si>
  <si>
    <t>https://www.accessdata.fda.gov/drugsatfda_docs/label/2016/207999s000lbl.pdf
 https://www.accessdata.fda.gov/drugsatfda_docs/appletter/2016/207999Orig1s000ltr.pdf
 https://www.accessdata.fda.gov/drugsatfda_docs/nda/2016/207999Orig1s000TOC.cfm
 https://www.accessdata.fda.gov/drugsatfda_docs/nda/2016/207999Orig1s000SumR.pdf</t>
  </si>
  <si>
    <t>daclizumab</t>
  </si>
  <si>
    <t>To treat multiple sclerosisPress ReleaseDrug Trials Snapshot</t>
  </si>
  <si>
    <t>https://www.accessdata.fda.gov/drugsatfda_docs/label/2016/761029s000lbl.pdf
 https://www.accessdata.fda.gov/drugsatfda_docs/appletter/2016/761029Orig1s000ltr.pdf
 https://www.accessdata.fda.gov/drugsatfda_docs/nda/2016/761029Orig1s000TOC.cfm
 https://www.accessdata.fda.gov/drugsatfda_docs/nda/2016/761029Orig1s000SumR.pdf</t>
  </si>
  <si>
    <t>atezolizumab</t>
  </si>
  <si>
    <t>To treat urothelial carcinoma, the most common type of bladder cancerPress ReleaseDrug Trials Snapshot</t>
  </si>
  <si>
    <t>https://www.accessdata.fda.gov/drugsatfda_docs/label/2016/761034Orig1s000lbl.pdf
 https://www.accessdata.fda.gov/drugsatfda_docs/appletter/2016/761034Orig1s000ltr.pdf
 https://www.accessdata.fda.gov/drugsatfda_docs/nda/2016/761034Orig1s000TOC.cfm
 https://www.accessdata.fda.gov/drugsatfda_docs/nda/2016/761034Orig1s000SumR.pdf</t>
  </si>
  <si>
    <t>pimavanserin</t>
  </si>
  <si>
    <t>To treat hallucinations and delusions associated with psychosis experienced by some people with Parkinson’s diseasePress ReleaseDrug Trials Snapshot</t>
  </si>
  <si>
    <t>https://www.accessdata.fda.gov/drugsatfda_docs/label/2016/207318lbl.pdf
 https://www.accessdata.fda.gov/drugsatfda_docs/appletter/2016/207318Orig1s000ltr.pdf
 https://www.accessdata.fda.gov/drugsatfda_docs/nda/2016/207318Orig1s000TOC.cfm
 https://www.accessdata.fda.gov/drugsatfda_docs/nda/2016/207318Orig1s000SumR.pdf</t>
  </si>
  <si>
    <t>venetoclax</t>
  </si>
  <si>
    <t>For chronic lymphocytic leukemia in patients with a specific chromosomal abnormalityPress ReleaseDrug Trials Snapshot</t>
  </si>
  <si>
    <t>https://www.accessdata.fda.gov/drugsatfda_docs/label/2016/208573s000lbl.pdf
 https://www.accessdata.fda.gov/drugsatfda_docs/appletter/2016/208573Orig1s000ltr.pdf
 https://www.accessdata.fda.gov/drugsatfda_docs/nda/2016/208573Orig1s000TOC.cfm
 https://www.accessdata.fda.gov/drugsatfda_docs/nda/2016/208573Orig1s000SumR.pdf</t>
  </si>
  <si>
    <t>defibrotide sodium</t>
  </si>
  <si>
    <t>To treat adults and children who develop hepatic veno-occlusive disease with additional kidney or lung abnormalities after they receive a stem cell transplant from blood or bone marrow called hematopoietic stem cell transplantationPress ReleaseDrug Trials Snapshot</t>
  </si>
  <si>
    <t>https://www.accessdata.fda.gov/drugsatfda_docs/label/2016/208114Orig1s000Lbl.pdf
 https://www.accessdata.fda.gov/drugsatfda_docs/appletter/2016/208114Orig1s000ltr.pdf
 https://www.accessdata.fda.gov/drugsatfda_docs/nda/2016/208114Orig1s000TOC.cfm
 https://www.accessdata.fda.gov/drugsatfda_docs/nda/2016/208114Orig1s000SumR.pdf</t>
  </si>
  <si>
    <t>reslizumab</t>
  </si>
  <si>
    <t>To treat severe asthmaPress ReleaseDrug Trials Snapshot</t>
  </si>
  <si>
    <t>https://www.accessdata.fda.gov/drugsatfda_docs/label/2016/761033lbl.pdf
 https://www.accessdata.fda.gov/drugsatfda_docs/appletter/2016/761033Orig1s000ltr.pdf
 https://www.accessdata.fda.gov/drugsatfda_docs/nda/2016/761033Orig1s000TOC.cfm
 https://www.accessdata.fda.gov/drugsatfda_docs/nda/2016/761033Orig1s000SumR.pdf</t>
  </si>
  <si>
    <t>ixekizumab</t>
  </si>
  <si>
    <t>To treat adults with moderate-to-severe plaque psoriasis. Press ReleaseDrug Trials Snapshot</t>
  </si>
  <si>
    <t>https://www.accessdata.fda.gov/drugsatfda_docs/label/2016/125521s000lbl.pdf
 https://www.accessdata.fda.gov/drugsatfda_docs/appletter/2016/125521Orig1s000ltr.pdf
 https://www.accessdata.fda.gov/drugsatfda_docs/nda/2016/125521Orig1s000TOC.cfm
 https://www.accessdata.fda.gov/drugsatfda_docs/nda/2016/125521Orig1s000SumR.pdf</t>
  </si>
  <si>
    <t>obiltoxaximab</t>
  </si>
  <si>
    <t>To treat inhalational anthrax in combination with appropriate antibacterial drugs.Press ReleaseDrug Trials Snapshot</t>
  </si>
  <si>
    <t>https://www.accessdata.fda.gov/drugsatfda_docs/label/2016/125509lbl.pdf
 https://www.accessdata.fda.gov/drugsatfda_docs/appletter/2016/125509Orig1s000ltr.pdf
 https://www.accessdata.fda.gov/drugsatfda_docs/nda/2016/125509Orig1s000TOC.cfm
 https://www.accessdata.fda.gov/drugsatfda_docs/nda/2016/125509Orig1s000SumR.pdf</t>
  </si>
  <si>
    <t>brivaracetam</t>
  </si>
  <si>
    <t>To treat partial onset seizures in patients age 16 years and older with epilepsy.Press ReleaseDrug Trials Snapshot</t>
  </si>
  <si>
    <t>https://www.federalregister.gov/documents/2016/05/12/2016-11245/schedules-of-controlled-substances-placement-of-brivaracetam-into-schedule-v
 https://www.accessdata.fda.gov/drugsatfda_docs/label/2016/205836Orig1s000,205837Orig1s000,205838Orig1s000lbl.pdf
 https://www.accessdata.fda.gov/drugsatfda_docs/appletter/2016/0205836Orig1s000,0205837Orig1s000,0205838Orig1s000ltr.pdf
 https://www.accessdata.fda.gov/drugsatfda_docs/nda/2016/205836-205837-205838-Briviact-TOC.cfm</t>
  </si>
  <si>
    <t>elbasvir and grazoprevir</t>
  </si>
  <si>
    <t>To treat patients with chronic hepatitis C virus (HCV) genotypes 1 and 4 infections in adult patients.Press ReleaseDrug Trials Snapshot</t>
  </si>
  <si>
    <t>https://www.accessdata.fda.gov/drugsatfda_docs/label/2016/208261Orig1s000lbl.pdf
 https://www.accessdata.fda.gov/drugsatfda_docs/appletter/2016/208261Orig1s000ltr.pdf
 https://www.accessdata.fda.gov/drugsatfda_docs/nda/2016/208261Orig1s000TOC.cfm
 https://www.accessdata.fda.gov/drugsatfda_docs/nda/2016/208261Orig1s000SumR.pdf</t>
  </si>
  <si>
    <t>lesinurad</t>
  </si>
  <si>
    <t>To treat high blood uric acid levels associated with goutDrug Trials Snapshot</t>
  </si>
  <si>
    <t>https://www.accessdata.fda.gov/drugsatfda_docs/label/2015/207988lbl.pdf
 https://www.accessdata.fda.gov/drugsatfda_docs/appletter/2015/207988Orig1s000ltr.pdf
 https://www.accessdata.fda.gov/drugsatfda_docs/nda/2015/207988Orig1s000TOC.cfm
 https://www.accessdata.fda.gov/drugsatfda_docs/nda/2015/207988Orig1s000SumR.pdf</t>
  </si>
  <si>
    <t>selexipag</t>
  </si>
  <si>
    <t>To treat pulmonary arterial hypertensionDrug Trials Snapshot</t>
  </si>
  <si>
    <t>https://www.accessdata.fda.gov/drugsatfda_docs/label/2017/2015/207947s000lbl.pdf
 https://www.accessdata.fda.gov/drugsatfda_docs/appletter/2015/207947Orig1s000ltr.pdf
 https://www.accessdata.fda.gov/drugsatfda_docs/nda/2015/207947Orig1s000TOC.cfm
 https://www.accessdata.fda.gov/drugsatfda_docs/nda/2015/207947Orig1s000SumR.pdf</t>
  </si>
  <si>
    <t>sugammadex</t>
  </si>
  <si>
    <t>To reverse effects of neuromuscular blocking drugs used during surgeryDrug Trials Snapshot</t>
  </si>
  <si>
    <t>https://www.accessdata.fda.gov/drugsatfda_docs/label/2015/022225lbl.pdf
 https://www.accessdata.fda.gov/drugsatfda_docs/appletter/2015/022225Orig1s000ltr.pdf
 https://www.accessdata.fda.gov/drugsatfda_docs/nda/2015/022225Orig1s000TOC.cfm
 https://www.accessdata.fda.gov/drugsatfda_docs/nda/2015/022225Orig1s000SumR.pdf</t>
  </si>
  <si>
    <t>alectinib</t>
  </si>
  <si>
    <t>To treat ALK-positive lung cancerDrug Trials Snapshot</t>
  </si>
  <si>
    <t>https://www.accessdata.fda.gov/drugsatfda_docs/label/2015/208434s000lbl.pdf
 https://www.accessdata.fda.gov/drugsatfda_docs/nda/2015/208434Orig1s000TOC.cfm
 https://www.accessdata.fda.gov/drugsatfda_docs/nda/2015/208434Orig1s000SumR.pdf</t>
  </si>
  <si>
    <t>sebelipase alfa</t>
  </si>
  <si>
    <t>To treat patients with a rare disease known as lysosomal acid lipase (LAL) deficiencyDrug Trials Snapshot</t>
  </si>
  <si>
    <t>https://www.accessdata.fda.gov/drugsatfda_docs/label/2015/125561s000lbl.pdf
 https://www.accessdata.fda.gov/drugsatfda_docs/appletter/2015/125561Orig1s000ltr.pdf
 https://www.accessdata.fda.gov/drugsatfda_docs/nda/2015/125561Orig1s000TOC.cfm</t>
  </si>
  <si>
    <t>elotuzumab</t>
  </si>
  <si>
    <t>To treat people with multiple myeloma who have received one to three prior medicationsDrug Trials Snapshot</t>
  </si>
  <si>
    <t>https://www.accessdata.fda.gov/drugsatfda_docs/label/2015/761035s000lbl.pdf
 https://www.accessdata.fda.gov/drugsatfda_docs/appletter/2015/761035Orig1s000ltr.pdf
 https://www.accessdata.fda.gov/drugsatfda_docs/nda/2015/761035Orig1s000TOC.cfm
 https://www.accessdata.fda.gov/drugsatfda_docs/nda/2015/761035Orig1s000SumR.pdf</t>
  </si>
  <si>
    <t>necitumumab</t>
  </si>
  <si>
    <t>To treat patients with advanced (metastatic) squamous non-small cell lung cancer (NSCLC) who have not previously received medication specifically for treating their advanced lung cancerDrug Trials Snapshot</t>
  </si>
  <si>
    <t>https://www.accessdata.fda.gov/drugsatfda_docs/label/2015/125547s000lbl.pdf
 https://www.accessdata.fda.gov/drugsatfda_docs/appletter/2015/125547Orig1s000ltr.pdf
 https://www.accessdata.fda.gov/drugsatfda_docs/nda/2015/125547Orig1s000TOC.cfm
 https://www.accessdata.fda.gov/drugsatfda_docs/nda/2015/125547Orig1s000SumR.pdf</t>
  </si>
  <si>
    <t>ixazomib</t>
  </si>
  <si>
    <t>To treat people with multiple myeloma who have received at least one prior therapyDrug Trials Snapshot</t>
  </si>
  <si>
    <t>https://www.accessdata.fda.gov/drugsatfda_docs/label/2015/208462lbl.pdf
 https://www.accessdata.fda.gov/drugsatfda_docs/appletter/2015/208462Orig1s000ltr.pdf
 https://www.accessdata.fda.gov/drugsatfda_docs/nda/2015/208462Orig1s000TOC.cfm
 https://www.accessdata.fda.gov/drugsatfda_docs/nda/2015/208462Orig1s000SumR.pdf</t>
  </si>
  <si>
    <t>daratumumab</t>
  </si>
  <si>
    <t>To treat patients with multiple myeloma who have received at least three prior treatments.Drug Trials Snapshot</t>
  </si>
  <si>
    <t>https://www.accessdata.fda.gov/drugsatfda_docs/label/2015/761036Orig1s000lbledt.pdf
 https://www.accessdata.fda.gov/drugsatfda_docs/appletter/2015/761036Orig1s000ltr.pdf
 https://www.accessdata.fda.gov/drugsatfda_docs/nda/2015/761036Orig1s000TOC.cfm
 https://www.accessdata.fda.gov/drugsatfda_docs/nda/2015/761036Orig1s000SumR.pdf</t>
  </si>
  <si>
    <t>osimertinib</t>
  </si>
  <si>
    <t>To treat certain patients with non-small cell lung cancerDrug Trials Snapshot</t>
  </si>
  <si>
    <t>https://www.accessdata.fda.gov/drugsatfda_docs/label/2015/208065s000lbl.pdf
 https://www.accessdata.fda.gov/drugsatfda_docs/appletter/2015/208065Orig1s000Ltr.pdf
 https://www.accessdata.fda.gov/drugsatfda_docs/nda/2015/208065Orig1s000TOC.cfm
 https://www.accessdata.fda.gov/drugsatfda_docs/nda/2015/208065Orig1s000SumR.pdf</t>
  </si>
  <si>
    <t>cobimetinib</t>
  </si>
  <si>
    <t>To be used in combination with vemurafenib to treat advanced melanoma that has spread to other parts of the body or can’t be removed by surgery, and that has a certain type of abnormal gene (BRAF V600E or V600K mutation)Drug Trials Snapshot</t>
  </si>
  <si>
    <t>https://www.accessdata.fda.gov/drugsatfda_docs/label/2015/206192s000lbl.pdf
 https://www.accessdata.fda.gov/drugsatfda_docs/appletter/2015/206192Orig1s000Ltr.pdf
 https://www.accessdata.fda.gov/drugsatfda_docs/nda/2015/206192Orig1s000TOC.cfm
 https://www.accessdata.fda.gov/drugsatfda_docs/nda/2015/206192Orig1s000SumR.pdf</t>
  </si>
  <si>
    <t>a fixed-dose combination tablet containing elvitegravir, cobicistat, emtricitabine, and tenofovir alafenamide</t>
  </si>
  <si>
    <t>For use as a complete regimen for the treatment of HIV-1 infection in adults and pediatric patients 12 years of age and olderDrug Trials Snapshot</t>
  </si>
  <si>
    <t>https://www.accessdata.fda.gov/drugsatfda_docs/label/2015/207561s000lbl.pdf
 https://www.accessdata.fda.gov/drugsatfda_docs/appletter/2015/207561Orig1s000ltr.pdf
 https://www.accessdata.fda.gov/drugsatfda_docs/nda/2015/207561Orig1s000TOC.cfm
 https://www.accessdata.fda.gov/drugsatfda_docs/nda/2015/207561Orig1s000SumR.pdf</t>
  </si>
  <si>
    <t>mepolizumab</t>
  </si>
  <si>
    <t>For use with other asthma medicines for the maintenance treatment of asthma in patients age 12 years and older.Drug Trials Snapshot</t>
  </si>
  <si>
    <t>https://www.accessdata.fda.gov/drugsatfda_docs/label/2015/125526Orig1s000Lbl.pdf
 https://www.accessdata.fda.gov/drugsatfda_docs/appletter/2015/125526Orig1s000Ltr.pdf
 https://www.accessdata.fda.gov/drugsatfda_docs/nda/2015/125526Orig1s000TOC.cfm
 https://www.accessdata.fda.gov/drugsatfda_docs/nda/2015/125526Orig1s000SumR.pdf</t>
  </si>
  <si>
    <t>asfotase alfa</t>
  </si>
  <si>
    <t>To treat perinatal, infantile and juvenile-onset hypophosphatasia (HPP).Drug Trials Snapshot</t>
  </si>
  <si>
    <t>https://www.accessdata.fda.gov/drugsatfda_docs/label/2015/125513s000lbl.pdf
 https://www.accessdata.fda.gov/drugsatfda_docs/appletter/2015/125513Orig1s000ltr.pdf
 https://www.accessdata.fda.gov/drugsatfda_docs/nda/2015/125513Orig1s000TOC.cfm
 https://www.accessdata.fda.gov/drugsatfda_docs/nda/2015/125513Orig1s000SumR.pdf</t>
  </si>
  <si>
    <t>trabectedin</t>
  </si>
  <si>
    <t>To treat specific soft tissue sarcomas (STS) – liposarcoma and leiomyosarcoma – that cannot be removed by surgery (unresectable) or is advanced (metastatic). Drug Trials Snapshot</t>
  </si>
  <si>
    <t>https://www.accessdata.fda.gov/drugsatfda_docs/label/2015/207953s000lbl.pdf
 https://www.accessdata.fda.gov/drugsatfda_docs/appletter/2015/207953Orig1s000ltr.pdf
 https://www.accessdata.fda.gov/drugsatfda_docs/nda/2015/207953Orig1s000TOC.cfm
 https://www.accessdata.fda.gov/drugsatfda_docs/nda/2015/207953Orig1s000SumR.pdf</t>
  </si>
  <si>
    <t>patiromer for oral suspension</t>
  </si>
  <si>
    <t>To treat hyperkalemia, a serious condition in which the amount of potassium in the blood is too high.Drug Trials Snapshot</t>
  </si>
  <si>
    <t>https://www.accessdata.fda.gov/drugsatfda_docs/label/2015/205739s000lbl.pdf
 https://www.accessdata.fda.gov/drugsatfda_docs/appletter/2015/205739Orig1s000ltr.pdf
 https://www.accessdata.fda.gov/drugsatfda_docs/nda/2015/205739Orig1s000TOC.cfm</t>
  </si>
  <si>
    <t>idarucizumab</t>
  </si>
  <si>
    <t>For use in patients who are taking the anticoagulant Pradaxa (dabigatran) during emergency situations when there is a need to reverse Pradaxa’s blood-thinning effects.Drug Trials Snapshot</t>
  </si>
  <si>
    <t>https://www.accessdata.fda.gov/drugsatfda_docs/label/2015/761025lbl.pdf
 https://www.accessdata.fda.gov/drugsatfda_docs/appletter/2015/761025Orig1s000ltr.pdf
 https://www.accessdata.fda.gov/drugsatfda_docs/nda/2015/0761025Orig1000TOC.cfm</t>
  </si>
  <si>
    <t>aripiprazole lauroxil</t>
  </si>
  <si>
    <t>To treat adults with schizophreniaDrug Trials Snapshot</t>
  </si>
  <si>
    <t>https://www.accessdata.fda.gov/drugsatfda_docs/label/2015/207533s000lbl.pdf
 https://www.accessdata.fda.gov/drugsatfda_docs/appletter/2015/207533Orig1s000ltr.pdf
 https://www.accessdata.fda.gov/drugsatfda_docs/nda/2015/207533Orig1s000TOC.cfm
 https://www.accessdata.fda.gov/drugsatfda_docs/nda/2015/207533Orig1s000SumR.pdf</t>
  </si>
  <si>
    <t>insulin degludec injection</t>
  </si>
  <si>
    <t>To improve blood sugar (glucose) control in adults with diabetes mellitusDrug Trials Snapshot</t>
  </si>
  <si>
    <t>https://www.accessdata.fda.gov/drugsatfda_docs/label/2015/203314lbl.pdf
 https://www.accessdata.fda.gov/drugsatfda_docs/appletter/2015/203314Orig1s000ltr.pdf
 https://www.accessdata.fda.gov/drugsatfda_docs/nda/2015/203313and203314Orig1s000TOC.cfm</t>
  </si>
  <si>
    <t>trifluridine and tipiracil</t>
  </si>
  <si>
    <t>To treat patients with an advanced form of colorectal cancer who are no longer responding to other therapiesDrug Trials Snapshot</t>
  </si>
  <si>
    <t>https://www.accessdata.fda.gov/drugsatfda_docs/label/2015/207981s000lbl.pdf
 https://www.accessdata.fda.gov/drugsatfda_docs/appletter/2015/207981Orig1s000ltr.pdf
 https://www.accessdata.fda.gov/drugsatfda_docs/nda/2015/207981Orig1s000TOC.cfm
 https://www.accessdata.fda.gov/drugsatfda_docs/nda/2015/207981Orig1s000SumR.pdf</t>
  </si>
  <si>
    <t>cariprazine</t>
  </si>
  <si>
    <t>To treat schizophrenia and bipolar disorder in adultsDrug Trials Snapshot for the treatment of bipolar disorderDrug Trials Snapshot for the treatment of schizophrenia</t>
  </si>
  <si>
    <t>https://www.accessdata.fda.gov/drugsatfda_docs/label/2015/204370lbl.pdf
 https://www.accessdata.fda.gov/drugsatfda_docs/appletter/2015/204370Orig1Orig2s000ltr.pdf
 https://www.accessdata.fda.gov/drugsatfda_docs/nda/2015/204370Orig2s000TOC.cfm</t>
  </si>
  <si>
    <t>uridine triacetate</t>
  </si>
  <si>
    <t>To treat patients with hereditary orotic aciduriaDrug Trials Snapshot</t>
  </si>
  <si>
    <t>https://www.accessdata.fda.gov/drugsatfda_docs/label/2015/208169s000lbl.pdf
 https://www.accessdata.fda.gov/drugsatfda_docs/appletter/2015/208169Orig1s000ltr.pdf
 https://www.accessdata.fda.gov/drugsatfda_docs/nda/2015/208169Orig1s000TOC.cfm
 https://www.accessdata.fda.gov/drugsatfda_docs/nda/2015/208169Orig1s000SumR.pdf</t>
  </si>
  <si>
    <t>rolapitant</t>
  </si>
  <si>
    <t>To prevent delayed phase chemotherapy-induced nausea and vomiting (emesis)Drug Trials Snapshot</t>
  </si>
  <si>
    <t>https://www.accessdata.fda.gov/drugsatfda_docs/label/2015/206500s000lbl.pdf
 https://www.accessdata.fda.gov/drugsatfda_docs/appletter/2015/206500Orig1s000ltr.pdf
 https://www.accessdata.fda.gov/drugsatfda_docs/nda/2015/206500Orig1s000TOC.cfm
 https://www.accessdata.fda.gov/drugsatfda_docs/nda/2015/206500Orig1s000SumR.pdf</t>
  </si>
  <si>
    <t>evolocumab</t>
  </si>
  <si>
    <t>To treat certain patients with high cholesterolDrug Trials Snapshot</t>
  </si>
  <si>
    <t>https://www.accessdata.fda.gov/drugsatfda_docs/label/2015/125522s000lbl.pdf
 https://www.accessdata.fda.gov/drugsatfda_docs/appletter/2015/125522Orig1s000ltr.pdf
 https://www.accessdata.fda.gov/drugsatfda_docs/nda/2015/125522Orig1s000TOC.cfm
 https://www.accessdata.fda.gov/drugsatfda_docs/nda/2015/125522Orig1s000SumR.pdf</t>
  </si>
  <si>
    <t>flibanserin</t>
  </si>
  <si>
    <t>To treat acquired, generalized hypoactive sexual desire disorder (HSDD) in premenopausal womenDrug Trials Snapshot</t>
  </si>
  <si>
    <t>https://www.accessdata.fda.gov/drugsatfda_docs/label/2015/022526lbl.pdf
 https://www.accessdata.fda.gov/drugsatfda_docs/appletter/2015/022526Orig1s000Ltr.pdf
 https://www.accessdata.fda.gov/drugsatfda_docs/nda/2015/022526Orig1s000TOC.cfm
 https://www.accessdata.fda.gov/drugsatfda_docs/nda/2015/022526Orig1s000SumRedt.pdf</t>
  </si>
  <si>
    <t>daclatasvir</t>
  </si>
  <si>
    <t>To treat chronic hepatitis C virus (HCV) genotype 3 infectionsDrug Trials Snapshot</t>
  </si>
  <si>
    <t>https://www.accessdata.fda.gov/drugsatfda_docs/label/2015/206843s000lbl.pdf
 https://www.accessdata.fda.gov/drugsatfda_docs/appletter/2015/206843Orig1s000ltr.pdf
 https://www.accessdata.fda.gov/drugsatfda_docs/nda/2015/206843Orig1s000TOC.cfm</t>
  </si>
  <si>
    <t>sonidegib</t>
  </si>
  <si>
    <t>To treat patients with locally advanced basal cell carcinoma that has recurred following surgery or radiation therapy, or who are not candidates for surgery or radiation therapy.Drug Trials Snapshot</t>
  </si>
  <si>
    <t>https://www.accessdata.fda.gov/drugsatfda_docs/label/2015/205266Orig1s000lbl.pdf
 https://www.accessdata.fda.gov/drugsatfda_docs/appletter/2015/205266Orig1s000ltr.pdf
 https://www.accessdata.fda.gov/drugsatfda_docs/nda/2015/205266Orig1s000TOC.cfm</t>
  </si>
  <si>
    <t>alirocumab</t>
  </si>
  <si>
    <t>https://www.accessdata.fda.gov/drugsatfda_docs/label/2015/125559Orig1s000lbledt.pdf
 https://www.accessdata.fda.gov/drugsatfda_docs/appletter/2015/125559Orig1s000ltr.pdf
 https://www.accessdata.fda.gov/drugsatfda_docs/nda/2015/125559Orig1s000TOC.cfm</t>
  </si>
  <si>
    <t>brexpiprazole</t>
  </si>
  <si>
    <t>To treat schizophrenia and as an add on to an antidepressant to treat major depressive disorderDrug Trials Snapshot (treatment of major depressive disorder)Drug Trials Snapshot (treatment of schizophrenia)</t>
  </si>
  <si>
    <t>https://www.accessdata.fda.gov/drugsatfda_docs/label/2015/205422Orig1Orig2s000lbl.pdf
 https://www.accessdata.fda.gov/drugsatfda_docs/appletter/2015/205422Orig1Orig2s000ltr.pdf
 https://www.accessdata.fda.gov/drugsatfda_docs/nda/2015/205422s000TOC.cfm</t>
  </si>
  <si>
    <t>sacubitril/valsartan</t>
  </si>
  <si>
    <t>To treat heart failureDrug Trials Snapshot</t>
  </si>
  <si>
    <t>https://www.accessdata.fda.gov/drugsatfda_docs/label/2015/207620Orig1s000lbl.pdf
 https://www.accessdata.fda.gov/drugsatfda_docs/appletter/2015/207620Orig1s000ltr.pdf
 https://www.accessdata.fda.gov/drugsatfda_docs/nda/2015/207620Orig1s000TOC.cfm
 https://www.accessdata.fda.gov/drugsatfda_docs/nda/2015/207620Orig1s000SumR.pdf</t>
  </si>
  <si>
    <t>lumacaftor 200 mg/ivacaftor 125 mg</t>
  </si>
  <si>
    <t>To treat cystic fibrosisDrug Trials Snapshot</t>
  </si>
  <si>
    <t>https://www.accessdata.fda.gov/drugsatfda_docs/label/2015/206038Orig1s000lbl.pdf
 https://www.accessdata.fda.gov/drugsatfda_docs/appletter/2015/206038Orig1s000ltr.pdf
 https://www.accessdata.fda.gov/drugsatfda_docs/nda/2015/0206038Orig1s000TOC.cfm
 https://www.accessdata.fda.gov/drugsatfda_docs/nda/2015/0206038Orig1s000SumR.pdf</t>
  </si>
  <si>
    <t>cangrelor</t>
  </si>
  <si>
    <t>To prevent the formation of harmful blood clots in the coronary arteries for adult patients undergoing percutaneous coronary interventionDrug Trials Snapshot</t>
  </si>
  <si>
    <t>https://www.accessdata.fda.gov/drugsatfda_docs/label/2015/204958Orig1s000Lbl.pdf
 https://www.accessdata.fda.gov/drugsatfda_docs/appletter/2015/204958Orig1s000ltr.pdf
 https://www.accessdata.fda.gov/drugsatfda_docs/nda/2015/204958Orig1s000TOC.cfm
 https://www.accessdata.fda.gov/drugsatfda_docs/nda/2015/204958Orig1s000SumR.pdf</t>
  </si>
  <si>
    <t>eluxadoline</t>
  </si>
  <si>
    <t>To treat irritable bowel syndrome with diarrhea (IBS-D) in adult men and women.Drug Trials Snapshot</t>
  </si>
  <si>
    <t>https://www.accessdata.fda.gov/drugsatfda_docs/label/2015/206940Orig1s000lbl.pdf
 https://www.accessdata.fda.gov/drugsatfda_docs/appletter/2015/206940Orig1s000ltr.pdf
 https://www.accessdata.fda.gov/drugsatfda_docs/nda/2015/206940Orig1s000TOC.cfm
 https://www.accessdata.fda.gov/drugsatfda_docs/nda/2015/206940Orig1s000SumR.pdf</t>
  </si>
  <si>
    <t>deoxycholic acid</t>
  </si>
  <si>
    <t>To treat adults with moderate-to-severe fat below the chin, known as submental fatDrug Trials Snapshot</t>
  </si>
  <si>
    <t>https://www.accessdata.fda.gov/drugsatfda_docs/label/2015/206333Orig1s000lbl.pdf
 https://www.accessdata.fda.gov/drugsatfda_docs/appletter/2015/206333Orig1s000ltr.pdf 
 https://www.accessdata.fda.gov/drugsatfda_docs/nda/2015/206333Orig1s000TOC.cfm
 https://www.accessdata.fda.gov/drugsatfda_docs/nda/2015/206333Orig1s000SumR.pdf</t>
  </si>
  <si>
    <t>ivabradine</t>
  </si>
  <si>
    <t>To reduce hospitalization from worsening heart failure.Drug Trials Snapshot</t>
  </si>
  <si>
    <t>https://www.accessdata.fda.gov/drugsatfda_docs/label/2015/206143Orig1s000lbl.pdf
 https://www.accessdata.fda.gov/drugsatfda_docs/appletter/2015/206143Orig1s000ltr.pdf
 https://www.accessdata.fda.gov/drugsatfda_docs/nda/2015/206143Orig1s000TOC.cfm</t>
  </si>
  <si>
    <t>cholic acid</t>
  </si>
  <si>
    <t>To treat pediatric and adult patients with bile acid synthesis disorders due to single enzyme defects, and for patients with peroxisomal disordersDrug Trials Snapshot (bile acid synthesis disorders)Drug Trials Snapshot (peroxisomal disorders)</t>
  </si>
  <si>
    <t>https://www.accessdata.fda.gov/drugsatfda_docs/label/2015/205750lbl.pdf
 https://www.accessdata.fda.gov/drugsatfda_docs/appletter/2015/205750Orig1s000ltr.pdf
 https://www.accessdata.fda.gov/drugsatfda_docs/nda/2015/205750Orig1s000TOC.cfm</t>
  </si>
  <si>
    <t>dinutuximab</t>
  </si>
  <si>
    <t>To treat pediatric patients with high-risk neuroblastomaDrug Trials Snapshot</t>
  </si>
  <si>
    <t>https://www.accessdata.fda.gov/drugsatfda_docs/label/2015/125516s000lbl.pdf
 https://www.accessdata.fda.gov/drugsatfda_docs/appletter/2015/125516Orig1s000ltr.pdf
 https://www.accessdata.fda.gov/drugsatfda_docs/nda/2015/125516Orig1s000TOC.cfm
 https://www.accessdata.fda.gov/drugsatfda_docs/nda/2015/125516Orig1s000SumR.pdf</t>
  </si>
  <si>
    <t>isavuconazonium sulfate</t>
  </si>
  <si>
    <t>To treat adults with invasive aspergillosis and invasive mucormycosis, rare but serious infectionsDrug Trials Snapshot (aspergillosis)Drug Trials Snapshot (mucormycosis)</t>
  </si>
  <si>
    <t>https://www.accessdata.fda.gov/drugsatfda_docs/label/2015/207500Orig1s000lbl.pdf
 https://www.accessdata.fda.gov/drugsatfda_docs/appletter/2015/207500Orig1s000ltr.pdf
 https://www.accessdata.fda.gov/drugsatfda_docs/nda/2015/207500Orig1207501Orig1s000TOC.cfm
 https://www.accessdata.fda.gov/drugsatfda_docs/nda/2015/207500Orig1207501Orig1s000Lbl.pdf</t>
  </si>
  <si>
    <t>ceftazidime-avibactam</t>
  </si>
  <si>
    <t>To treat adults with complicated intra-abdominal infections (cIAI), in combination with metronidazole, and complicated urinary tract infections (cUTI), including kidney infections (pyelonephritis), who have limited or no alternative treatment options.Drug Trials Snaphot (cIAI)</t>
  </si>
  <si>
    <t>https://www.accessdata.fda.gov/drugsatfda_docs/label/2015/206494s000lbl.pdf
 https://www.accessdata.fda.gov/drugsatfda_docs/appletter/2015/206494Orig1s000ltr.pdf
 https://www.accessdata.fda.gov/drugsatfda_docs/nda/2015/206494Orig1s000TOC.cfm
 https://www.accessdata.fda.gov/drugsatfda_docs/nda/2015/206494Orig1s000SumR.pdf</t>
  </si>
  <si>
    <t>panobinostat</t>
  </si>
  <si>
    <t>To treat patients with multiple myelomaDrug Trials Snapshot</t>
  </si>
  <si>
    <t>https://www.accessdata.fda.gov/drugsatfda_docs/label/2015/205353s000lbl.pdf
 https://www.accessdata.fda.gov/drugsatfda_docs/appletter/2015/205353Orig1s000ltr.pdf
 https://www.accessdata.fda.gov/drugsatfda_docs/nda/2015/205353Orig1s000TOC.cfm
 https://www.accessdata.fda.gov/drugsatfda_docs/nda/2015/205353Orig1s000SumR.pdf</t>
  </si>
  <si>
    <t>lenvatinib</t>
  </si>
  <si>
    <t>To treat patients with progressive, differentiated thyroid cancer (DTC) whose disease progressed despite receiving radioactive iodine therapy (radioactive iodine refractory disease).Drug Trials Snapshot</t>
  </si>
  <si>
    <t>https://www.accessdata.fda.gov/drugsatfda_docs/label/2015/206947s000lbl.pdf
 https://www.accessdata.fda.gov/drugsatfda_docs/appletter/2015/206947Orig1s000ltr.pdf
 https://www.accessdata.fda.gov/drugsatfda_docs/nda/2015/206947Orig1s000TOC.cfm
 https://www.accessdata.fda.gov/drugsatfda_docs/nda/2015/206947Orig1s000SumR.pdf</t>
  </si>
  <si>
    <t>palbociclib</t>
  </si>
  <si>
    <t>To treat advanced (metastatic) breast cancerDrug Trials Snapshot</t>
  </si>
  <si>
    <t>https://www.accessdata.fda.gov/drugsatfda_docs/label/2015/207103s000lbl.pdf
 https://www.accessdata.fda.gov/drugsatfda_docs/appletter/2015/207103Orig1s000ltr.pdf
 https://www.accessdata.fda.gov/drugsatfda_docs/nda/2015/207103Orig1s000TOC.cfm
 https://www.accessdata.fda.gov/drugsatfda_docs/nda/2015/207103Orig1s000SumR.pdf</t>
  </si>
  <si>
    <t>parathyroid horomone</t>
  </si>
  <si>
    <t>To control hypocalcemia (low blood calcium levels) in patients with hypoparathyroidismDrug Trials Snapshot</t>
  </si>
  <si>
    <t>https://www.accessdata.fda.gov/drugsatfda_docs/label/2015/125511s000lbl.pdf
 https://www.accessdata.fda.gov/drugsatfda_docs/appletter/2015/125511Orig1s000ltr.pdf
 https://www.accessdata.fda.gov/drugsatfda_docs/nda/2015/125511Orig1s000TOC.cfm
 https://www.accessdata.fda.gov/drugsatfda_docs/nda/2015/125511Orig1s000SumR.pdf</t>
  </si>
  <si>
    <t>secukinumab</t>
  </si>
  <si>
    <t>To treat adults with moderate-to-severe plaque psoriasisDrug Trials Snapshot</t>
  </si>
  <si>
    <t>https://www.accessdata.fda.gov/drugsatfda_docs/label/2015/125504s000lbl.pdf
 https://www.accessdata.fda.gov/drugsatfda_docs/appletter/2015/125504Orig1s000ltr.pdf
 https://www.accessdata.fda.gov/drugsatfda_docs/nda/2015/125504Orig1s000TOC.cfm
 https://www.accessdata.fda.gov/drugsatfda_docs/nda/2015/125504Orig1s000SumR.pdf</t>
  </si>
  <si>
    <t>edoxaban</t>
  </si>
  <si>
    <t>To reduce the risk of stroke and dangerous blood clots (systemic embolism) in patients with atrial fibrillation that is not caused by a heart valve problemDrug Trials Snapshot (atrial fibrillation) Drug Trials Snapshot (venous thromboembolism)</t>
  </si>
  <si>
    <t>https://www.accessdata.fda.gov/drugsatfda_docs/label/2015/206316lbl.pdf
 https://www.accessdata.fda.gov/drugsatfda_docs/appletter/2015/206316Orig2s000ltr.pdf
 https://www.accessdata.fda.gov/drugsatfda_docs/appletter/2015/206316Orig1s000ltr.pdf
 https://www.accessdata.fda.gov/drugsatfda_docs/nda/2015/206316Orig1Orig2s000TOC.cfm
 https://www.accessdata.fda.gov/drugsatfda_docs/nda/2015/206316Orig1Orig2s000SumR.pdf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</si>
</sst>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x14ac:knownFonts="1">
    <font>
      <sz val="11"/>
      <color theme="1"/>
      <name val="Calibri"/>
      <family val="2"/>
      <scheme val="minor"/>
    </font>
    <font>
      <b/>
      <sz val="11"/>
      <color theme="1"/>
      <name val="Calibri"/>
      <family val="2"/>
      <scheme val="minor"/>
    </font>
    <font>
      <u/>
      <sz val="11"/>
      <color theme="10"/>
      <name val="Calibri"/>
      <family val="2"/>
    </font>
  </fonts>
  <fills count="6">
    <fill>
      <patternFill patternType="none"/>
    </fill>
    <fill>
      <patternFill patternType="gray125"/>
    </fill>
    <fill>
      <patternFill patternType="solid">
        <fgColor rgb="FF828AE0"/>
        <bgColor indexed="64"/>
      </patternFill>
    </fill>
    <fill>
      <patternFill patternType="solid">
        <fgColor rgb="FFE0B4B4"/>
        <bgColor indexed="64"/>
      </patternFill>
    </fill>
    <fill>
      <patternFill patternType="solid">
        <fgColor rgb="FF999FE0"/>
        <bgColor indexed="64"/>
      </patternFill>
    </fill>
    <fill>
      <patternFill patternType="solid">
        <fgColor rgb="FF95E0AA"/>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9">
    <xf numFmtId="0" fontId="0" fillId="0" borderId="0" xfId="0"/>
    <xf numFmtId="164" fontId="0" fillId="0" borderId="0" xfId="0" applyNumberFormat="1"/>
    <xf numFmtId="0" fontId="1" fillId="0" borderId="0" xfId="0" applyFont="1"/>
    <xf numFmtId="0" fontId="2" fillId="0" borderId="0" xfId="1" applyAlignment="1" applyProtection="1"/>
    <xf numFmtId="0" fontId="1" fillId="5" borderId="0" xfId="0" applyFont="1" applyFill="1" applyAlignment="1">
      <alignment horizontal="center" vertical="center"/>
    </xf>
    <xf numFmtId="0" fontId="1" fillId="4" borderId="0" xfId="0" applyFont="1" applyFill="1" applyAlignment="1">
      <alignment horizontal="center" vertical="center"/>
    </xf>
    <xf numFmtId="0" fontId="1" fillId="0" borderId="0" xfId="0" applyFont="1" applyAlignment="1">
      <alignment horizontal="center" vertical="center"/>
    </xf>
    <xf numFmtId="0" fontId="1" fillId="2" borderId="0" xfId="0" applyFont="1" applyFill="1" applyAlignment="1">
      <alignment horizontal="center" vertical="center"/>
    </xf>
    <xf numFmtId="0" fontId="1" fillId="3" borderId="0" xfId="0" applyFont="1" applyFill="1" applyAlignment="1">
      <alignment horizontal="center" vertical="center"/>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www.accessdata.fda.gov/drugsatfda_docs/label/2018/209816_209817lbl.pdf%0a%20https:/www.accessdata.fda.gov/drugsatfda_docs/appletter/2018/209816Orig1s000,209817Orig1s000Ltr.pdf%0a%20https:/www.accessdata.fda.gov/drugsatfda_docs/nda/2018/209816Orig1s000,209817Orig1s000TOC.cfm" TargetMode="External"/><Relationship Id="rId21" Type="http://schemas.openxmlformats.org/officeDocument/2006/relationships/hyperlink" Target="https://www.accessdata.fda.gov/drugsatfda_docs/label/2020/213535s000lbl.pdf%0a%20https:/www.accessdata.fda.gov/drugsatfda_docs/appletter/2020/213535Orig1s000ltr.pdf%0a%20https:/www.accessdata.fda.gov/drugsatfda_docs/nda/2020/213535Orig1s000TOC.cfm" TargetMode="External"/><Relationship Id="rId63" Type="http://schemas.openxmlformats.org/officeDocument/2006/relationships/hyperlink" Target="https://www.accessdata.fda.gov/drugsatfda_docs/label/2019/0212194s000lbl.pdf%0a%20https:/www.accessdata.fda.gov/drugsatfda_docs/appletter/2019/212194Orig1s000ltr.pdf%0a%20https:/www.accessdata.fda.gov/drugsatfda_docs/nda/2019/212194Orig1s000TOC.cfm" TargetMode="External"/><Relationship Id="rId159" Type="http://schemas.openxmlformats.org/officeDocument/2006/relationships/hyperlink" Target="https://www.accessdata.fda.gov/drugsatfda_docs/label/2018/208700s000lbl.pdf%0a%20https:/www.accessdata.fda.gov/drugsatfda_docs/appletter/2018/208700Orig1s000ltr.pdf%0a%20https:/www.accessdata.fda.gov/drugsatfda_docs/nda/2018/208700Orig1s000TOC.cfm" TargetMode="External"/><Relationship Id="rId170" Type="http://schemas.openxmlformats.org/officeDocument/2006/relationships/hyperlink" Target="https://www.accessdata.fda.gov/drugsatfda_docs/label/2017/210259s000lbl.pdf%0a%20https:/www.accessdata.fda.gov/drugsatfda_docs/appletter/2017/210259Orig1s000ltr.pdf%0a%20https:/www.accessdata.fda.gov/drugsatfda_docs/nda/2017/210259Orig1s000TOC.cfm" TargetMode="External"/><Relationship Id="rId226" Type="http://schemas.openxmlformats.org/officeDocument/2006/relationships/hyperlink" Target="https://www.federalregister.gov/documents/2016/05/12/2016-11245/schedules-of-controlled-substances-placement-of-brivaracetam-into-schedule-v%0a%20https:/www.accessdata.fda.gov/drugsatfda_docs/label/2016/205836Orig1s000,205837Orig1s000,205838Orig1s000lbl.pdf%0a%20https:/www.accessdata.fda.gov/drugsatfda_docs/appletter/2016/0205836Orig1s000,0205837Orig1s000,0205838Orig1s000ltr.pdf%0a%20https:/www.accessdata.fda.gov/drugsatfda_docs/nda/2016/205836-205837-205838-Briviact-TOC.cfm" TargetMode="External"/><Relationship Id="rId268" Type="http://schemas.openxmlformats.org/officeDocument/2006/relationships/hyperlink" Target="https://www.accessdata.fda.gov/drugsatfda_docs/label/2015/206947s000lbl.pdf%0a%20https:/www.accessdata.fda.gov/drugsatfda_docs/appletter/2015/206947Orig1s000ltr.pdf%0a%20https:/www.accessdata.fda.gov/drugsatfda_docs/nda/2015/206947Orig1s000TOC.cfm%0a%20https:/www.accessdata.fda.gov/drugsatfda_docs/nda/2015/206947Orig1s000SumR.pdf" TargetMode="External"/><Relationship Id="rId11" Type="http://schemas.openxmlformats.org/officeDocument/2006/relationships/hyperlink" Target="https://www.accessdata.fda.gov/drugsatfda_docs/label/2020/213969s000lbl.pdf%0a%20https:/www.accessdata.fda.gov/drugsatfda_docs/appletter/2020/213969Orig1s000ltr.pdf%0a%20https:/www.accessdata.fda.gov/drugsatfda_docs/nda/2020/213969Orig1s000TOC.cfm" TargetMode="External"/><Relationship Id="rId32" Type="http://schemas.openxmlformats.org/officeDocument/2006/relationships/hyperlink" Target="https://www.accessdata.fda.gov/drugsatfda_docs/label/2020/212123s000lbl.pdf%0a%20https:/www.accessdata.fda.gov/drugsatfda_docs/appletter/2020/212123Orig1s000ltr.pdf%0a%20https:/www.accessdata.fda.gov/drugsatfda_docs/nda/2020/212123Orig1s000TOC.cfm" TargetMode="External"/><Relationship Id="rId53" Type="http://schemas.openxmlformats.org/officeDocument/2006/relationships/hyperlink" Target="https://www.accessdata.fda.gov/drugsatfda_docs/label/2020/212608s000lbl.pdf%0a%20https:/www.accessdata.fda.gov/drugsatfda_docs/appletter/2020/212608Orig1s000ltr.pdf%0a%20https:/www.accessdata.fda.gov/drugsatfda_docs/nda/2020/212608Orig1s000TOC.cfm" TargetMode="External"/><Relationship Id="rId74" Type="http://schemas.openxmlformats.org/officeDocument/2006/relationships/hyperlink" Target="https://www.accessdata.fda.gov/drugsatfda_docs/label/2019/211527s000lbl.pdf%0a%20https:/www.accessdata.fda.gov/drugsatfda_docs/appletter/2019/211527Orig1s000ltr.pdf%0a%20https:/www.accessdata.fda.gov/drugsatfda_docs/nda/2019/211527Orig1s000TOC.cfm" TargetMode="External"/><Relationship Id="rId128" Type="http://schemas.openxmlformats.org/officeDocument/2006/relationships/hyperlink" Target="https://www.accessdata.fda.gov/drugsatfda_docs/label/2018/761094s000lbl.pdf%0a%20https:/www.accessdata.fda.gov/drugsatfda_docs/appletter/2018/761094Orig1s000Ltr.pdf%0a%20https:/www.accessdata.fda.gov/drugsatfda_docs/nda/2018/761094Orig1s000TOC.cfm" TargetMode="External"/><Relationship Id="rId149" Type="http://schemas.openxmlformats.org/officeDocument/2006/relationships/hyperlink" Target="https://www.accessdata.fda.gov/drugsatfda_docs/label/2018/761077s000lbl.pdf%0a%20https:/www.accessdata.fda.gov/drugsatfda_docs/appletter/2018/761077Orig1s000ltr.pdf%0a%20https:/www.accessdata.fda.gov/drugsatfda_docs/nda/2018/761077Orig1s000TOC.cfm" TargetMode="External"/><Relationship Id="rId5" Type="http://schemas.openxmlformats.org/officeDocument/2006/relationships/hyperlink" Target="https://www.accessdata.fda.gov/drugsatfda_docs/label/2020/213189s000lbl.pdf%0a%20https:/www.accessdata.fda.gov/drugsatfda_docs/appletter/2020/213189Orig1s000ltr.pdf%0a%20https:/www.accessdata.fda.gov/drugsatfda_docs/nda/2020/213189Orig1s000TOC.cfm" TargetMode="External"/><Relationship Id="rId95" Type="http://schemas.openxmlformats.org/officeDocument/2006/relationships/hyperlink" Target="https://www.accessdata.fda.gov/drugsatfda_docs/label/2019/209884s000lbl.pdf%0a%20https:/www.accessdata.fda.gov/drugsatfda_docs/appletter/2019/209884Orig1s000ltr.pdf%0a%20https:/www.accessdata.fda.gov/drugsatfda_docs/nda/2019/209884Orig1s000TOC.cfm" TargetMode="External"/><Relationship Id="rId160" Type="http://schemas.openxmlformats.org/officeDocument/2006/relationships/hyperlink" Target="https://www.accessdata.fda.gov/drugsatfda_docs/label/2017/209360s000lbl.pdf%0a%20https:/www.accessdata.fda.gov/drugsatfda_docs/appletter/2017/209360Orig1s000ltr.pdf%0a%20https:/www.accessdata.fda.gov/drugsatfda_docs/nda/2017/209360Orig1s000TOC.cfm" TargetMode="External"/><Relationship Id="rId181" Type="http://schemas.openxmlformats.org/officeDocument/2006/relationships/hyperlink" Target="https://www.accessdata.fda.gov/drugsatfda_docs/label/2017/208051s000lbl.pdf%0a%20https:/www.accessdata.fda.gov/drugsatfda_docs/appletter/2017/208051Orig1s000Ltr.pdf%0a%20https:/www.accessdata.fda.gov/drugsatfda_docs/nda/2017/208051Orig1s000TOC.cfm" TargetMode="External"/><Relationship Id="rId216" Type="http://schemas.openxmlformats.org/officeDocument/2006/relationships/hyperlink" Target="https://www.accessdata.fda.gov/drugsatfda_docs/label/2016/208054s000lbl.pdf%0a%20https:/www.accessdata.fda.gov/drugsatfda_docs/appletter/2016/208054Orig1s000ltr.pdf%0a%20https:/www.accessdata.fda.gov/drugsatfda_docs/nda/2016/208054Orig1s000TOC.cfm%0a%20https:/www.accessdata.fda.gov/drugsatfda_docs/nda/2016/208054Orig1s000SumR.pdf" TargetMode="External"/><Relationship Id="rId237" Type="http://schemas.openxmlformats.org/officeDocument/2006/relationships/hyperlink" Target="https://www.accessdata.fda.gov/drugsatfda_docs/label/2015/208065s000lbl.pdf%0a%20https:/www.accessdata.fda.gov/drugsatfda_docs/appletter/2015/208065Orig1s000Ltr.pdf%0a%20https:/www.accessdata.fda.gov/drugsatfda_docs/nda/2015/208065Orig1s000TOC.cfm%0a%20https:/www.accessdata.fda.gov/drugsatfda_docs/nda/2015/208065Orig1s000SumR.pdf" TargetMode="External"/><Relationship Id="rId258" Type="http://schemas.openxmlformats.org/officeDocument/2006/relationships/hyperlink" Target="https://www.accessdata.fda.gov/drugsatfda_docs/label/2015/206038Orig1s000lbl.pdf%0a%20https:/www.accessdata.fda.gov/drugsatfda_docs/appletter/2015/206038Orig1s000ltr.pdf%0a%20https:/www.accessdata.fda.gov/drugsatfda_docs/nda/2015/0206038Orig1s000TOC.cfm%0a%20https:/www.accessdata.fda.gov/drugsatfda_docs/nda/2015/0206038Orig1s000SumR.pdf" TargetMode="External"/><Relationship Id="rId22" Type="http://schemas.openxmlformats.org/officeDocument/2006/relationships/hyperlink" Target="https://www.accessdata.fda.gov/drugsatfda_docs/label/2020/213464s000lbl.pdf%0a%20https:/www.accessdata.fda.gov/drugsatfda_docs/appletter/2020/213464Orig1s000ltr.pdf%0a%20https:/www.accessdata.fda.gov/drugsatfda_docs/nda/2020/213464Orig1s000TOC.cfm" TargetMode="External"/><Relationship Id="rId43" Type="http://schemas.openxmlformats.org/officeDocument/2006/relationships/hyperlink" Target="https://www.accessdata.fda.gov/drugsatfda_docs/label/2020/209899s000lbl.pdf%0a%20https:/www.accessdata.fda.gov/drugsatfda_docs/appletter/2020/209899Orig1s000ltr.pdf%0a%20https:/www.accessdata.fda.gov/drugsatfda_docs/nda/2020/209899Orig1s000TOC.cfm" TargetMode="External"/><Relationship Id="rId64" Type="http://schemas.openxmlformats.org/officeDocument/2006/relationships/hyperlink" Target="https://www.accessdata.fda.gov/drugsatfda_docs/label/2019/761128s000lbl.pdf%0a%20https:/www.accessdata.fda.gov/drugsatfda_docs/appletter/2019/761128Orig1s000ltr.pdf%0a%20https:/www.accessdata.fda.gov/drugsatfda_docs/nda/2019/761128Orig1s000TOC.cfm" TargetMode="External"/><Relationship Id="rId118" Type="http://schemas.openxmlformats.org/officeDocument/2006/relationships/hyperlink" Target="https://www.accessdata.fda.gov/drugsatfda_docs/label/2018/209521s000lbl.pdf%0a%20https:/www.accessdata.fda.gov/drugsatfda_docs/appletter/2018/209521Orig1s000ltr.pdf%0a%20https:/www.accessdata.fda.gov/drugsatfda_docs/nda/2018/209521Orig1s000TOC.cfm" TargetMode="External"/><Relationship Id="rId139" Type="http://schemas.openxmlformats.org/officeDocument/2006/relationships/hyperlink" Target="https://www.accessdata.fda.gov/drugsatfda_docs/label/2018/208627s000lbl.pdf%0a%20https:/www.accessdata.fda.gov/drugsatfda_docs/appletter/2018/208627Orig1s000ltr.PDF%0a%20https:/www.accessdata.fda.gov/drugsatfda_docs/nda/2018/208627Orig1s000TOC.cfm" TargetMode="External"/><Relationship Id="rId85" Type="http://schemas.openxmlformats.org/officeDocument/2006/relationships/hyperlink" Target="https://www.accessdata.fda.gov/drugsatfda_docs/label/2019/212320Orig1s000lbl.pdf%0a%20https:/www.accessdata.fda.gov/drugsatfda_docs/appletter/2019/212320Orig1s000ltr.pdf%0a%20https:/www.accessdata.fda.gov/drugsatfda_docs/nda/2019/212320Orig1s000TOC.cfm" TargetMode="External"/><Relationship Id="rId150" Type="http://schemas.openxmlformats.org/officeDocument/2006/relationships/hyperlink" Target="https://www.accessdata.fda.gov/drugsatfda_docs/label/2018/209229s000lbl.pdf%0a%20https:/www.accessdata.fda.gov/drugsatfda_docs/appletter/2018/209229Orig1s000ltr.pdf%0a%20https:/www.accessdata.fda.gov/drugsatfda_docs/nda/2018/209229Orig1s000TOC.cfm" TargetMode="External"/><Relationship Id="rId171" Type="http://schemas.openxmlformats.org/officeDocument/2006/relationships/hyperlink" Target="https://www.accessdata.fda.gov/drugsatfda_docs/label/2017/208716Orig1s000lbl.pdf%0a%20https:/www.accessdata.fda.gov/drugsatfda_docs/appletter/2017/208716Orig1s000ltr.pdf%0a%20https:/www.accessdata.fda.gov/drugsatfda_docs/nda/2017/208716Orig1s000TOC.cfm" TargetMode="External"/><Relationship Id="rId192" Type="http://schemas.openxmlformats.org/officeDocument/2006/relationships/hyperlink" Target="https://www.accessdata.fda.gov/drugsatfda_docs/label/2017/761052lbl.pdf%0a%20https:/www.accessdata.fda.gov/drugsatfda_docs/appletter/2017/761052Orig1s000ltr.pdf%0a%20https:/www.accessdata.fda.gov/drugsatfda_docs/nda/2017/761052Orig1s000TOC.cfm" TargetMode="External"/><Relationship Id="rId206" Type="http://schemas.openxmlformats.org/officeDocument/2006/relationships/hyperlink" Target="https://www.accessdata.fda.gov/drugsatfda_docs/label/2016/209531lbl.pdf%0a%20https:/www.accessdata.fda.gov/drugsatfda_docs/appletter/2016/209531Orig1s000ltr.pdf%0a%20https:/www.accessdata.fda.gov/drugsatfda_docs/nda/2016/209531Orig1s000TOC.cfm" TargetMode="External"/><Relationship Id="rId227" Type="http://schemas.openxmlformats.org/officeDocument/2006/relationships/hyperlink" Target="https://www.accessdata.fda.gov/drugsatfda_docs/label/2016/208261Orig1s000lbl.pdf%0a%20https:/www.accessdata.fda.gov/drugsatfda_docs/appletter/2016/208261Orig1s000ltr.pdf%0a%20https:/www.accessdata.fda.gov/drugsatfda_docs/nda/2016/208261Orig1s000TOC.cfm%0a%20https:/www.accessdata.fda.gov/drugsatfda_docs/nda/2016/208261Orig1s000SumR.pdf" TargetMode="External"/><Relationship Id="rId248" Type="http://schemas.openxmlformats.org/officeDocument/2006/relationships/hyperlink" Target="https://www.accessdata.fda.gov/drugsatfda_docs/label/2015/204370lbl.pdf%0a%20https:/www.accessdata.fda.gov/drugsatfda_docs/appletter/2015/204370Orig1Orig2s000ltr.pdf%0a%20https:/www.accessdata.fda.gov/drugsatfda_docs/nda/2015/204370Orig2s000TOC.cfm" TargetMode="External"/><Relationship Id="rId269" Type="http://schemas.openxmlformats.org/officeDocument/2006/relationships/hyperlink" Target="https://www.accessdata.fda.gov/drugsatfda_docs/label/2015/207103s000lbl.pdf%0a%20https:/www.accessdata.fda.gov/drugsatfda_docs/appletter/2015/207103Orig1s000ltr.pdf%0a%20https:/www.accessdata.fda.gov/drugsatfda_docs/nda/2015/207103Orig1s000TOC.cfm%0a%20https:/www.accessdata.fda.gov/drugsatfda_docs/nda/2015/207103Orig1s000SumR.pdf" TargetMode="External"/><Relationship Id="rId12" Type="http://schemas.openxmlformats.org/officeDocument/2006/relationships/hyperlink" Target="https://www.accessdata.fda.gov/drugsatfda_docs/label/2020/214787Orig1s000lbl.pdf%0a%20https:/www.accessdata.fda.gov/drugsatfda_docs/appletter/2020/214787Orig1s000ltr.pdf%0a%20https:/www.accessdata.fda.gov/drugsatfda_docs/nda/2020/214787Orig1s000TOC.cfm%0a%20https:/www.accessdata.fda.gov/drugsatfda_docs/nda/2020/214787Orig1s000Sumr.pdf" TargetMode="External"/><Relationship Id="rId33" Type="http://schemas.openxmlformats.org/officeDocument/2006/relationships/hyperlink" Target="https://www.accessdata.fda.gov/drugsatfda_docs/label/2020/213036s000lbl.pdf%0a%20https:/www.accessdata.fda.gov/drugsatfda_docs/appletter/2020/213036Orig1s000ltr.pdf%0a%20https:/www.accessdata.fda.gov/drugsatfda_docs/nda/2020/213036Orig1s000TOC.cfm" TargetMode="External"/><Relationship Id="rId108" Type="http://schemas.openxmlformats.org/officeDocument/2006/relationships/hyperlink" Target="https://www.accessdata.fda.gov/drugsatfda_docs/label/2018/210656s000lbl.pdf%0a%20https:/www.accessdata.fda.gov/drugsatfda_docs/appletter/2018/210656Orig1s000ltr.pdf%0a%20https:/www.accessdata.fda.gov/drugsatfda_docs/nda/2018/210656Orig1s000TOC.cfm" TargetMode="External"/><Relationship Id="rId129" Type="http://schemas.openxmlformats.org/officeDocument/2006/relationships/hyperlink" Target="https://www.accessdata.fda.gov/drugsatfda_docs/label/2018/206709s000,207223s000lbl.pdf%0a%20https:/www.accessdata.fda.gov/drugsatfda_docs/appletter/2018/206709Orig1s000,207223Orig1s000Ltr.pdf%0a%20https:/www.accessdata.fda.gov/drugsatfda_docs/nda/2018/206709Orig1s000,207223Orig1s000TOC.cfm" TargetMode="External"/><Relationship Id="rId54" Type="http://schemas.openxmlformats.org/officeDocument/2006/relationships/hyperlink" Target="https://www.accessdata.fda.gov/drugsatfda_docs/label/2019/211765s000lbl.pdf%0a%20https:/www.accessdata.fda.gov/drugsatfda_docs/appletter/2019/211765Orig1s000ltr.pdf%0a%20https:/www.accessdata.fda.gov/drugsatfda_docs/nda/2019/211765Orig1s000TOC.cfm" TargetMode="External"/><Relationship Id="rId75" Type="http://schemas.openxmlformats.org/officeDocument/2006/relationships/hyperlink" Target="https://www.accessdata.fda.gov/drugsatfda_docs/label/2019/211801s000lbl.pdf%0a%20https:/www.accessdata.fda.gov/drugsatfda_docs/appletter/2019/211801Orig1s000ltr.pdf%0a%20https:/www.accessdata.fda.gov/drugsatfda_docs/nda/2019/211801Orig1s000TOC.cfm" TargetMode="External"/><Relationship Id="rId96" Type="http://schemas.openxmlformats.org/officeDocument/2006/relationships/hyperlink" Target="https://www.accessdata.fda.gov/drugsatfda_docs/label/2019/211230_Orig1Orig2s000lbl.pdf%0a%20https:/www.accessdata.fda.gov/drugsatfda_docs/appletter/2020/211230Orig1s000,%20Orig2s000ltr.pdf%0a%20https:/www.accessdata.fda.gov/drugsatfda_docs/nda/2019/211230Orig1Orig2s000TOC.cfm" TargetMode="External"/><Relationship Id="rId140" Type="http://schemas.openxmlformats.org/officeDocument/2006/relationships/hyperlink" Target="https://www.accessdata.fda.gov/drugsatfda_docs/label/2018/210496lbl.pdf%0a%20https:/www.accessdata.fda.gov/drugsatfda_docs/appletter/2018/210496Orig1s000ltr.pdf%0a%20https:/www.accessdata.fda.gov/drugsatfda_docs/nda/2018/210496Orig1s000TOC.cfm" TargetMode="External"/><Relationship Id="rId161" Type="http://schemas.openxmlformats.org/officeDocument/2006/relationships/hyperlink" Target="https://www.accessdata.fda.gov/drugsatfda_docs/label/2017/205598s000lbl.pdf%0a%20https:/www.accessdata.fda.gov/drugsatfda_docs/appletter/2017/205598Orig1s000ltr.pdf%0a%20https:/www.accessdata.fda.gov/drugsatfda_docs/nda/2017/205598Orig1s000TOC.cfm" TargetMode="External"/><Relationship Id="rId182" Type="http://schemas.openxmlformats.org/officeDocument/2006/relationships/hyperlink" Target="https://www.accessdata.fda.gov/drugsatfda_docs/label/2017/761061s000lbl.pdf%0a%20https:/www.accessdata.fda.gov/drugsatfda_docs/appletter/2017/761061Orig1s000ltr.pdf%0a%20https:/www.accessdata.fda.gov/drugsatfda_docs/nda/2017/761061Orig1s000TOC.cfm" TargetMode="External"/><Relationship Id="rId217" Type="http://schemas.openxmlformats.org/officeDocument/2006/relationships/hyperlink" Target="https://www.accessdata.fda.gov/drugsatfda_docs/label/2016/207999s000lbl.pdf%0a%20https:/www.accessdata.fda.gov/drugsatfda_docs/appletter/2016/207999Orig1s000ltr.pdf%0a%20https:/www.accessdata.fda.gov/drugsatfda_docs/nda/2016/207999Orig1s000TOC.cfm%0a%20https:/www.accessdata.fda.gov/drugsatfda_docs/nda/2016/207999Orig1s000SumR.pdf" TargetMode="External"/><Relationship Id="rId6" Type="http://schemas.openxmlformats.org/officeDocument/2006/relationships/hyperlink" Target="https://www.accessdata.fda.gov/drugsatfda_docs/label/2020/214094s000lbl.pdf%0a%20https:/www.accessdata.fda.gov/drugsatfda_docs/appletter/2020/214094Orig1s000ltr.pdf%0a%20https:/www.accessdata.fda.gov/drugsatfda_docs/nda/2020/214094Orig1s000TOC.cfm" TargetMode="External"/><Relationship Id="rId238" Type="http://schemas.openxmlformats.org/officeDocument/2006/relationships/hyperlink" Target="https://www.accessdata.fda.gov/drugsatfda_docs/label/2015/206192s000lbl.pdf%0a%20https:/www.accessdata.fda.gov/drugsatfda_docs/appletter/2015/206192Orig1s000Ltr.pdf%0a%20https:/www.accessdata.fda.gov/drugsatfda_docs/nda/2015/206192Orig1s000TOC.cfm%0a%20https:/www.accessdata.fda.gov/drugsatfda_docs/nda/2015/206192Orig1s000SumR.pdf" TargetMode="External"/><Relationship Id="rId259" Type="http://schemas.openxmlformats.org/officeDocument/2006/relationships/hyperlink" Target="https://www.accessdata.fda.gov/drugsatfda_docs/label/2015/204958Orig1s000Lbl.pdf%0a%20https:/www.accessdata.fda.gov/drugsatfda_docs/appletter/2015/204958Orig1s000ltr.pdf%0a%20https:/www.accessdata.fda.gov/drugsatfda_docs/nda/2015/204958Orig1s000TOC.cfm%0a%20https:/www.accessdata.fda.gov/drugsatfda_docs/nda/2015/204958Orig1s000SumR.pdf" TargetMode="External"/><Relationship Id="rId23" Type="http://schemas.openxmlformats.org/officeDocument/2006/relationships/hyperlink" Target="https://www.accessdata.fda.gov/drugsatfda_docs/label/2020/761158s000lbl.pdf%0a%20https:/www.accessdata.fda.gov/drugsatfda_docs/appletter/2020/761158Orig1s000ltr.pdf%0a%20https:/www.accessdata.fda.gov/drugsatfda_docs/nda/2020/761158Orig1s000TOC.cfm" TargetMode="External"/><Relationship Id="rId119" Type="http://schemas.openxmlformats.org/officeDocument/2006/relationships/hyperlink" Target="https://www.accessdata.fda.gov/drugsatfda_docs/label/2018/761097s000lbl.pdf%0a%20https:/www.accessdata.fda.gov/drugsatfda_docs/appletter/2018/761097Orig1s000ltr.pdf%0a%20https:/www.accessdata.fda.gov/drugsatfda_docs/nda/2018/761097Orig1s000TOC.cfm" TargetMode="External"/><Relationship Id="rId270" Type="http://schemas.openxmlformats.org/officeDocument/2006/relationships/hyperlink" Target="https://www.accessdata.fda.gov/drugsatfda_docs/label/2015/125511s000lbl.pdf%0a%20https:/www.accessdata.fda.gov/drugsatfda_docs/appletter/2015/125511Orig1s000ltr.pdf%0a%20https:/www.accessdata.fda.gov/drugsatfda_docs/nda/2015/125511Orig1s000TOC.cfm%0a%20https:/www.accessdata.fda.gov/drugsatfda_docs/nda/2015/125511Orig1s000SumR.pdf" TargetMode="External"/><Relationship Id="rId44" Type="http://schemas.openxmlformats.org/officeDocument/2006/relationships/hyperlink" Target="https://www.accessdata.fda.gov/drugsatfda_docs/label/2020/212801s000lbl.pdf%0a%20https:/www.accessdata.fda.gov/drugsatfda_docs/appletter/2020/212801Orig1s000ltr.pdf%0a%20https:/www.accessdata.fda.gov/drugsatfda_docs/nda/2020/212801Orig1s000TOC.cfm" TargetMode="External"/><Relationship Id="rId65" Type="http://schemas.openxmlformats.org/officeDocument/2006/relationships/hyperlink" Target="https://www.accessdata.fda.gov/drugsatfda_docs/label/2019/209445s000lbl.pdf%0a%20https:/www.accessdata.fda.gov/drugsatfda_docs/appletter/2019/209445Orig1s000ltr.pdf%0a%20https:/www.accessdata.fda.gov/drugsatfda_docs/nda/2019/209445Orig1s000TOC.cfm" TargetMode="External"/><Relationship Id="rId86" Type="http://schemas.openxmlformats.org/officeDocument/2006/relationships/hyperlink" Target="https://www.accessdata.fda.gov/drugsatfda_docs/label/2019/212819s000lbl.pdf%0a%20https:/www.accessdata.fda.gov/drugsatfda_docs/appletter/2019/212819Orig1s000ltr.pdf%0a%20https:/www.accessdata.fda.gov/drugsatfda_docs/nda/2019/212819Orig1s000TOC.cfm" TargetMode="External"/><Relationship Id="rId130" Type="http://schemas.openxmlformats.org/officeDocument/2006/relationships/hyperlink" Target="https://www.accessdata.fda.gov/drugsatfda_docs/label/2018/208623lbl.pdf%0a%20https:/www.accessdata.fda.gov/drugsatfda_docs/appletter/2018/208623Orig1s000ltr.pdf%0a%20https:/www.accessdata.fda.gov/drugsatfda_docs/nda/2018/208623Orig1s000TOC.cfm" TargetMode="External"/><Relationship Id="rId151" Type="http://schemas.openxmlformats.org/officeDocument/2006/relationships/hyperlink" Target="https://www.accessdata.fda.gov/drugsatfda_docs/label/2018/210493s000lbl.pdf%0a%20https:/www.accessdata.fda.gov/drugsatfda_docs/appletter/2018/210493Orig1s000ltr.pdf%0a%20https:/www.accessdata.fda.gov/drugsatfda_docs/nda/2018/210493Orig1s000ApprovTOC.cfm" TargetMode="External"/><Relationship Id="rId172" Type="http://schemas.openxmlformats.org/officeDocument/2006/relationships/hyperlink" Target="https://www.accessdata.fda.gov/drugsatfda_docs/label/2017/209363s000lbl.pdf%0a%20https:/www.accessdata.fda.gov/drugsatfda_docs/appletter/2017/209363Orig1s000Ltr.pdf%0a%20https:/www.accessdata.fda.gov/drugsatfda_docs/nda/2017/209363Orig1s000TOC.cfm" TargetMode="External"/><Relationship Id="rId193" Type="http://schemas.openxmlformats.org/officeDocument/2006/relationships/hyperlink" Target="https://www.accessdata.fda.gov/drugsatfda_docs/label/2017/209241lbl.pdf%0a%20https:/www.accessdata.fda.gov/drugsatfda_docs/appletter/2017/209241Orig1s000ltr.pdf%0a%20https:/www.accessdata.fda.gov/drugsatfda_docs/nda/2017/209241Orig1s000TOC.cfm%0a%20https:/www.accessdata.fda.gov/drugsatfda_docs/nda/2017/209241Orig1s000SumR.pdf" TargetMode="External"/><Relationship Id="rId207" Type="http://schemas.openxmlformats.org/officeDocument/2006/relationships/hyperlink" Target="https://www.accessdata.fda.gov/drugsatfda_docs/label/2016/209115s000lbl.pdf%0a%20https:/www.accessdata.fda.gov/drugsatfda_docs/appletter/2016/209115Orig1s000ltr.pdf%0a%20https:/www.accessdata.fda.gov/drugsatfda_docs/nda/2016/209115Orig1s000TOC.cfm" TargetMode="External"/><Relationship Id="rId228" Type="http://schemas.openxmlformats.org/officeDocument/2006/relationships/hyperlink" Target="https://www.accessdata.fda.gov/drugsatfda_docs/label/2015/207988lbl.pdf%0a%20https:/www.accessdata.fda.gov/drugsatfda_docs/appletter/2015/207988Orig1s000ltr.pdf%0a%20https:/www.accessdata.fda.gov/drugsatfda_docs/nda/2015/207988Orig1s000TOC.cfm%0a%20https:/www.accessdata.fda.gov/drugsatfda_docs/nda/2015/207988Orig1s000SumR.pdf" TargetMode="External"/><Relationship Id="rId249" Type="http://schemas.openxmlformats.org/officeDocument/2006/relationships/hyperlink" Target="https://www.accessdata.fda.gov/drugsatfda_docs/label/2015/208169s000lbl.pdf%0a%20https:/www.accessdata.fda.gov/drugsatfda_docs/appletter/2015/208169Orig1s000ltr.pdf%0a%20https:/www.accessdata.fda.gov/drugsatfda_docs/nda/2015/208169Orig1s000TOC.cfm%0a%20https:/www.accessdata.fda.gov/drugsatfda_docs/nda/2015/208169Orig1s000SumR.pdf" TargetMode="External"/><Relationship Id="rId13" Type="http://schemas.openxmlformats.org/officeDocument/2006/relationships/hyperlink" Target="https://www.accessdata.fda.gov/drugsatfda_docs/label/2020/761169s000lbl.pdf%0a%20https:/www.accessdata.fda.gov/drugsatfda_docs/appletter/2020/761169Orig1s000ltr.pdf%0a%20https:/www.accessdata.fda.gov/drugsatfda_docs/nda/2020/761169Orig1s000TOC.cfm" TargetMode="External"/><Relationship Id="rId109" Type="http://schemas.openxmlformats.org/officeDocument/2006/relationships/hyperlink" Target="https://www.accessdata.fda.gov/drugsatfda_docs/label/2018/761107s000lbl.pdf%0a%20https:/www.accessdata.fda.gov/drugsatfda_docs/appletter/2018/761107Orig1s000ltr.pdf%0a%20https:/www.accessdata.fda.gov/drugsatfda_docs/nda/2018/761107Orig1s000TOC.cfm" TargetMode="External"/><Relationship Id="rId260" Type="http://schemas.openxmlformats.org/officeDocument/2006/relationships/hyperlink" Target="https://www.accessdata.fda.gov/drugsatfda_docs/label/2015/206940Orig1s000lbl.pdf%0a%20https:/www.accessdata.fda.gov/drugsatfda_docs/appletter/2015/206940Orig1s000ltr.pdf%0a%20https:/www.accessdata.fda.gov/drugsatfda_docs/nda/2015/206940Orig1s000TOC.cfm%0a%20https:/www.accessdata.fda.gov/drugsatfda_docs/nda/2015/206940Orig1s000SumR.pdf" TargetMode="External"/><Relationship Id="rId34" Type="http://schemas.openxmlformats.org/officeDocument/2006/relationships/hyperlink" Target="https://www.accessdata.fda.gov/drugsatfda_docs/label/2020/212155s000lbl.pdf%0a%20https:/www.accessdata.fda.gov/drugsatfda_docs/appletter/2020/212155Orig1s000ltr.pdf%0a%20https:/www.accessdata.fda.gov/drugsatfda_docs/nda/2020/212155Orig1s000TOC.cfm" TargetMode="External"/><Relationship Id="rId55" Type="http://schemas.openxmlformats.org/officeDocument/2006/relationships/hyperlink" Target="https://www.accessdata.fda.gov/drugsatfda_docs/label/2019/761139s000lbl.pdf%0a%20https:/www.accessdata.fda.gov/drugsatfda_docs/appletter/2019/761139Orig1s000ltr.pdf%0a%20https:/www.accessdata.fda.gov/drugsatfda_docs/nda/2019/761139Orig1s000TOC.cfm" TargetMode="External"/><Relationship Id="rId76" Type="http://schemas.openxmlformats.org/officeDocument/2006/relationships/hyperlink" Target="https://www.accessdata.fda.gov/drugsatfda_docs/label/2019/022075s000lbl.pdf%0a%20https:/www.accessdata.fda.gov/drugsatfda_docs/appletter/2019/022075Orig1s000ltr.pdf%0a%20https:/www.accessdata.fda.gov/drugsatfda_docs/nda/2019/022075Orig1s000TOC.cfm" TargetMode="External"/><Relationship Id="rId97" Type="http://schemas.openxmlformats.org/officeDocument/2006/relationships/hyperlink" Target="https://www.accessdata.fda.gov/drugsatfda_docs/label/2019/211371lbl.pdf%0a%20https:/www.accessdata.fda.gov/drugsatfda_docs/appletter/2019/211371Orig1s000ltr.pdf%0a%20https:/www.accessdata.fda.gov/drugsatfda_docs/nda/2019/211371Orig1s000TOC.cfm" TargetMode="External"/><Relationship Id="rId120" Type="http://schemas.openxmlformats.org/officeDocument/2006/relationships/hyperlink" Target="https://www.accessdata.fda.gov/drugsatfda_docs/label/2018/211288s000lbl.pdf%0a%20https:/www.accessdata.fda.gov/drugsatfda_docs/appletter/2018/211288Orig1s000ltr.pdf%0a%20https:/www.accessdata.fda.gov/drugsatfda_docs/nda/2018/211288Orig1s000TOC.cfm" TargetMode="External"/><Relationship Id="rId141" Type="http://schemas.openxmlformats.org/officeDocument/2006/relationships/hyperlink" Target="https://www.accessdata.fda.gov/drugsatfda_docs/label/2018/210498lbl.pdf%0a%20https:/www.accessdata.fda.gov/drugsatfda_docs/appletter/2018/210498Orig1s000ltr.pdf%0a%20https:/www.accessdata.fda.gov/drugsatfda_docs/nda/2018/210498Orig1s000TOC.cfm" TargetMode="External"/><Relationship Id="rId7" Type="http://schemas.openxmlformats.org/officeDocument/2006/relationships/hyperlink" Target="https://www.accessdata.fda.gov/drugsatfda_docs/label/2020/212642s000lbl.pdf%0a%20https:/www.accessdata.fda.gov/drugsatfda_docs/appletter/2020/212642Orig1s000ltr.pdf%0a%20https:/www.accessdata.fda.gov/drugsatfda_docs/nda/2020/212642Orig1s000TOC.cfm" TargetMode="External"/><Relationship Id="rId162" Type="http://schemas.openxmlformats.org/officeDocument/2006/relationships/hyperlink" Target="https://www.accessdata.fda.gov/drugsatfda_docs/label/2017/209803s000lbl.pdf%0a%20https:/www.accessdata.fda.gov/drugsatfda_docs/appletter/2017/209803Orig1s000ltr.pdf%0a%20https:/www.accessdata.fda.gov/drugsatfda_docs/nda/2017/209803,209805,209806Orig1s000TOC.cfm" TargetMode="External"/><Relationship Id="rId183" Type="http://schemas.openxmlformats.org/officeDocument/2006/relationships/hyperlink" Target="https://www.accessdata.fda.gov/drugsatfda_docs/label/2017/208383s000lbl.pdf%0a%20https:/www.accessdata.fda.gov/drugsatfda_docs/appletter/2017/208383Orig1s000ltr.pdf%0a%20https:/www.accessdata.fda.gov/drugsatfda_docs/nda/2017/208383Orig1s000TOC.cfm" TargetMode="External"/><Relationship Id="rId218" Type="http://schemas.openxmlformats.org/officeDocument/2006/relationships/hyperlink" Target="https://www.accessdata.fda.gov/drugsatfda_docs/label/2016/761029s000lbl.pdf%0a%20https:/www.accessdata.fda.gov/drugsatfda_docs/appletter/2016/761029Orig1s000ltr.pdf%0a%20https:/www.accessdata.fda.gov/drugsatfda_docs/nda/2016/761029Orig1s000TOC.cfm%0a%20https:/www.accessdata.fda.gov/drugsatfda_docs/nda/2016/761029Orig1s000SumR.pdf" TargetMode="External"/><Relationship Id="rId239" Type="http://schemas.openxmlformats.org/officeDocument/2006/relationships/hyperlink" Target="https://www.accessdata.fda.gov/drugsatfda_docs/label/2015/207561s000lbl.pdf%0a%20https:/www.accessdata.fda.gov/drugsatfda_docs/appletter/2015/207561Orig1s000ltr.pdf%0a%20https:/www.accessdata.fda.gov/drugsatfda_docs/nda/2015/207561Orig1s000TOC.cfm%0a%20https:/www.accessdata.fda.gov/drugsatfda_docs/nda/2015/207561Orig1s000SumR.pdf" TargetMode="External"/><Relationship Id="rId250" Type="http://schemas.openxmlformats.org/officeDocument/2006/relationships/hyperlink" Target="https://www.accessdata.fda.gov/drugsatfda_docs/label/2015/206500s000lbl.pdf%0a%20https:/www.accessdata.fda.gov/drugsatfda_docs/appletter/2015/206500Orig1s000ltr.pdf%0a%20https:/www.accessdata.fda.gov/drugsatfda_docs/nda/2015/206500Orig1s000TOC.cfm%0a%20https:/www.accessdata.fda.gov/drugsatfda_docs/nda/2015/206500Orig1s000SumR.pdf" TargetMode="External"/><Relationship Id="rId271" Type="http://schemas.openxmlformats.org/officeDocument/2006/relationships/hyperlink" Target="https://www.accessdata.fda.gov/drugsatfda_docs/label/2015/125504s000lbl.pdf%0a%20https:/www.accessdata.fda.gov/drugsatfda_docs/appletter/2015/125504Orig1s000ltr.pdf%0a%20https:/www.accessdata.fda.gov/drugsatfda_docs/nda/2015/125504Orig1s000TOC.cfm%0a%20https:/www.accessdata.fda.gov/drugsatfda_docs/nda/2015/125504Orig1s000SumR.pdf" TargetMode="External"/><Relationship Id="rId24" Type="http://schemas.openxmlformats.org/officeDocument/2006/relationships/hyperlink" Target="https://www.accessdata.fda.gov/drugsatfda_docs/label/2020/761163s000lbl.pdf%0a%20https:/www.accessdata.fda.gov/drugsatfda_docs/appletter/2020/761163Orig1s000ltr.pdf%0a%20https:/www.accessdata.fda.gov/drugsatfda_docs/nda/2020/761163Orig1s000TOC.cfm" TargetMode="External"/><Relationship Id="rId45" Type="http://schemas.openxmlformats.org/officeDocument/2006/relationships/hyperlink" Target="https://www.accessdata.fda.gov/drugsatfda_docs/label/2020/761113s000lbl.pdf%0a%20https:/www.accessdata.fda.gov/drugsatfda_docs/appletter/2020/761113Orig1s000ltr.pdf%0a%20https:/www.accessdata.fda.gov/drugsatfda_docs/nda/2020/761113Orig1s000TOC.cfm" TargetMode="External"/><Relationship Id="rId66" Type="http://schemas.openxmlformats.org/officeDocument/2006/relationships/hyperlink" Target="https://www.accessdata.fda.gov/drugsatfda_docs/label/2019/213217s000lbl.pdf%0a%20https:/www.accessdata.fda.gov/drugsatfda_docs/appletter/2019/213217Orig1s000ltr.pdf%0a%20https:/www.accessdata.fda.gov/drugsatfda_docs/nda/2019/213217Orig1s000TOC.cfm" TargetMode="External"/><Relationship Id="rId87" Type="http://schemas.openxmlformats.org/officeDocument/2006/relationships/hyperlink" Target="https://www.accessdata.fda.gov/drugsatfda_docs/label/2019/212306s000lbl.pdf%0a%20https:/www.accessdata.fda.gov/drugsatfda_docs/appletter/2019/212306Orig1s000rplLTR.pdf%0a%20https:/www.accessdata.fda.gov/drugsatfda_docs/nda/2019/212306Orig1s000TOC.cfm" TargetMode="External"/><Relationship Id="rId110" Type="http://schemas.openxmlformats.org/officeDocument/2006/relationships/hyperlink" Target="https://www.accessdata.fda.gov/drugsatfda_docs/label/2018/210910s000lbl.pdf%0a%20https:/www.accessdata.fda.gov/drugsatfda_docs/appletter/2018/210910Orig1s000ltr.pdf%0a%20https:/www.accessdata.fda.gov/drugsatfda_docs/nda/2018/210910Orig1_toc.cfm" TargetMode="External"/><Relationship Id="rId131" Type="http://schemas.openxmlformats.org/officeDocument/2006/relationships/hyperlink" Target="https://www.accessdata.fda.gov/drugsatfda_docs/label/2018/209627s000lbl.pdf%0a%20https:/www.accessdata.fda.gov/drugsatfda_docs/appletter/2018/209627Orig1s000ltr.pdf%0a%20https:/www.accessdata.fda.gov/drugsatfda_docs/nda/2018/209627Orig1s000TOC.cfm" TargetMode="External"/><Relationship Id="rId152" Type="http://schemas.openxmlformats.org/officeDocument/2006/relationships/hyperlink" Target="https://www.accessdata.fda.gov/drugsatfda_docs/label/2018/761068s000lbl.pdf%0a%20https:/www.accessdata.fda.gov/drugsatfda_docs/appletter/2018/761068Orig1s000ltr.pdf%0a%20https:/www.accessdata.fda.gov/drugsatfda_docs/nda/2018/761068Orig1s000TOC.cfm" TargetMode="External"/><Relationship Id="rId173" Type="http://schemas.openxmlformats.org/officeDocument/2006/relationships/hyperlink" Target="https://www.accessdata.fda.gov/drugsatfda_docs/label/2017/209936s000lbl.pdf%0a%20https:/www.accessdata.fda.gov/drugsatfda_docs/appletter/2017/209936Orig1s000Ltr.pdf%0a%20https:/www.accessdata.fda.gov/drugsatfda_docs/nda/2017/209936Orig1_toc.cfm" TargetMode="External"/><Relationship Id="rId194" Type="http://schemas.openxmlformats.org/officeDocument/2006/relationships/hyperlink" Target="https://www.accessdata.fda.gov/drugsatfda_docs/label/2017/208082s000lbl.pdf%0a%20https:/www.accessdata.fda.gov/drugsatfda_docs/appletter/2017/208082Orig1s000ltr.pdf%0a%20https:/www.accessdata.fda.gov/drugsatfda_docs/nda/2017/208082Orig1s000TOC.cfm" TargetMode="External"/><Relationship Id="rId208" Type="http://schemas.openxmlformats.org/officeDocument/2006/relationships/hyperlink" Target="https://www.accessdata.fda.gov/drugsatfda_docs/label/2016/207695s000lbl.pdf%0a%20https:/www.accessdata.fda.gov/drugsatfda_docs/appletter/2016/207695Orig1s000ltr.pdf%0a%20https:/www.accessdata.fda.gov/drugsatfda_docs/nda/2016/207695Orig1s000TOC.cfm" TargetMode="External"/><Relationship Id="rId229" Type="http://schemas.openxmlformats.org/officeDocument/2006/relationships/hyperlink" Target="https://www.accessdata.fda.gov/drugsatfda_docs/label/2017/2015/207947s000lbl.pdf%0a%20https:/www.accessdata.fda.gov/drugsatfda_docs/appletter/2015/207947Orig1s000ltr.pdf%0a%20https:/www.accessdata.fda.gov/drugsatfda_docs/nda/2015/207947Orig1s000TOC.cfm%0a%20https:/www.accessdata.fda.gov/drugsatfda_docs/nda/2015/207947Orig1s000SumR.pdf" TargetMode="External"/><Relationship Id="rId240" Type="http://schemas.openxmlformats.org/officeDocument/2006/relationships/hyperlink" Target="https://www.accessdata.fda.gov/drugsatfda_docs/label/2015/125526Orig1s000Lbl.pdf%0a%20https:/www.accessdata.fda.gov/drugsatfda_docs/appletter/2015/125526Orig1s000Ltr.pdf%0a%20https:/www.accessdata.fda.gov/drugsatfda_docs/nda/2015/125526Orig1s000TOC.cfm%0a%20https:/www.accessdata.fda.gov/drugsatfda_docs/nda/2015/125526Orig1s000SumR.pdf" TargetMode="External"/><Relationship Id="rId261" Type="http://schemas.openxmlformats.org/officeDocument/2006/relationships/hyperlink" Target="https://www.accessdata.fda.gov/drugsatfda_docs/label/2015/206333Orig1s000lbl.pdf%0a%20https:/www.accessdata.fda.gov/drugsatfda_docs/appletter/2015/206333Orig1s000ltr.pdf%20%0a%20https:/www.accessdata.fda.gov/drugsatfda_docs/nda/2015/206333Orig1s000TOC.cfm%0a%20https:/www.accessdata.fda.gov/drugsatfda_docs/nda/2015/206333Orig1s000SumR.pdf" TargetMode="External"/><Relationship Id="rId14" Type="http://schemas.openxmlformats.org/officeDocument/2006/relationships/hyperlink" Target="https://www.accessdata.fda.gov/drugsatfda_docs/nda/2020/213721Orig1s000TOC.cfm" TargetMode="External"/><Relationship Id="rId35" Type="http://schemas.openxmlformats.org/officeDocument/2006/relationships/hyperlink" Target="https://www.accessdata.fda.gov/drugsatfda_docs/label/2020/213973s000lbl.pdf%0a%20https:/www.accessdata.fda.gov/drugsatfda_docs/appletter/2020/213973Orig1s000ltr.pdf%0a%20https:/www.accessdata.fda.gov/drugsatfda_docs/nda/2020/213973Orig1s000TOC.cfm" TargetMode="External"/><Relationship Id="rId56" Type="http://schemas.openxmlformats.org/officeDocument/2006/relationships/hyperlink" Target="https://www.accessdata.fda.gov/drugsatfda_docs/label/2019/212028s000lbl.pdf%0a%20https:/www.accessdata.fda.gov/drugsatfda_docs/appletter/2019/212028Orig1s000ltr.pdf%0a%20https:/www.accessdata.fda.gov/drugsatfda_docs/nda/2019/212028Orig1s000TOC.cfm" TargetMode="External"/><Relationship Id="rId77" Type="http://schemas.openxmlformats.org/officeDocument/2006/relationships/hyperlink" Target="https://www.accessdata.fda.gov/drugsatfda_docs/label/2019/210828s000lbl.pdf%0a%20https:/www.accessdata.fda.gov/drugsatfda_docs/appletter/2019/210828Orig1s000ltr.pdf%0a%20https:/www.accessdata.fda.gov/drugsatfda_docs/nda/2019/210828Orig1s000TOC.cfm" TargetMode="External"/><Relationship Id="rId100" Type="http://schemas.openxmlformats.org/officeDocument/2006/relationships/hyperlink" Target="https://www.accessdata.fda.gov/drugsatfda_docs/label/2019/761085s000lbl.pdf%0a%20https:/www.accessdata.fda.gov/drugsatfda_docs/appletter/2019/761085Orig1s000ltr.pdf%0a%20https:/www.accessdata.fda.gov/drugsatfda_docs/nda/2019/761085Orig1s000TOC.cfm" TargetMode="External"/><Relationship Id="rId8" Type="http://schemas.openxmlformats.org/officeDocument/2006/relationships/hyperlink" Target="https://www.accessdata.fda.gov/drugsatfda_docs/label/2020/761171lbl.pdf%0a%20https:/www.accessdata.fda.gov/drugsatfda_docs/appletter/2020/761171Orig1s000ltr.pdf%0a%20https:/www.accessdata.fda.gov/drugsatfda_docs/nda/2020/761171Orig1s000TOC.cfm" TargetMode="External"/><Relationship Id="rId98" Type="http://schemas.openxmlformats.org/officeDocument/2006/relationships/hyperlink" Target="https://www.accessdata.fda.gov/drugsatfda_docs/label/2019/208711s000lbl.pdf%0a%20https:/www.accessdata.fda.gov/drugsatfda_docs/appletter/2019/208711Orig1s000ltr.pdf%0a%20https:/www.accessdata.fda.gov/drugsatfda_docs/nda/2018/208711Orig1s000TOC.cfm" TargetMode="External"/><Relationship Id="rId121" Type="http://schemas.openxmlformats.org/officeDocument/2006/relationships/hyperlink" Target="https://www.accessdata.fda.gov/drugsatfda_docs/label/2018/761063s000lbl.pdf%0a%20https:/www.accessdata.fda.gov/drugsatfda_docs/appletter/2018/761063Orig1s000ltr.pdf%0a%20https:/www.accessdata.fda.gov/drugsatfda_docs/nda/2018/761063Orig1s000TOC.cfm" TargetMode="External"/><Relationship Id="rId142" Type="http://schemas.openxmlformats.org/officeDocument/2006/relationships/hyperlink" Target="https://www.accessdata.fda.gov/drugsatfda_docs/label/2018/210303Orig1s000lbl.pdf%0a%20https:/www.accessdata.fda.gov/drugsatfda_docs/appletter/2018/210303Orig1s000Ltr.pdf%0a%20https:/www.accessdata.fda.gov/drugsatfda_docs/nda/2018/210303Orig1s000TOC.cfm" TargetMode="External"/><Relationship Id="rId163" Type="http://schemas.openxmlformats.org/officeDocument/2006/relationships/hyperlink" Target="https://www.accessdata.fda.gov/drugsatfda_docs/label/2017/208945lbl.pdf%0a%20https:/www.accessdata.fda.gov/drugsatfda_docs/appletter/2017/208945Orig1s000ltr.pdf%0a%20https:/www.accessdata.fda.gov/drugsatfda_docs/nda/2017/208945Orig1s000TOC.cfm" TargetMode="External"/><Relationship Id="rId184" Type="http://schemas.openxmlformats.org/officeDocument/2006/relationships/hyperlink" Target="https://www.accessdata.fda.gov/drugsatfda_docs/label/2017/208610s000,208611s000lbl.pdf%0a%20https:/www.accessdata.fda.gov/drugsatfda_docs/appletter/2017/208610Orig1s000,208611Orig1s000ltr.pdf%0a%20https:/www.accessdata.fda.gov/drugsatfda_docs/nda/2017/208610Orig1s000,208611Orig1s000TOC.cfm" TargetMode="External"/><Relationship Id="rId219" Type="http://schemas.openxmlformats.org/officeDocument/2006/relationships/hyperlink" Target="https://www.accessdata.fda.gov/drugsatfda_docs/label/2016/761034Orig1s000lbl.pdf%0a%20https:/www.accessdata.fda.gov/drugsatfda_docs/appletter/2016/761034Orig1s000ltr.pdf%0a%20https:/www.accessdata.fda.gov/drugsatfda_docs/nda/2016/761034Orig1s000TOC.cfm%0a%20https:/www.accessdata.fda.gov/drugsatfda_docs/nda/2016/761034Orig1s000SumR.pdf" TargetMode="External"/><Relationship Id="rId230" Type="http://schemas.openxmlformats.org/officeDocument/2006/relationships/hyperlink" Target="https://www.accessdata.fda.gov/drugsatfda_docs/label/2015/022225lbl.pdf%0a%20https:/www.accessdata.fda.gov/drugsatfda_docs/appletter/2015/022225Orig1s000ltr.pdf%0a%20https:/www.accessdata.fda.gov/drugsatfda_docs/nda/2015/022225Orig1s000TOC.cfm%0a%20https:/www.accessdata.fda.gov/drugsatfda_docs/nda/2015/022225Orig1s000SumR.pdf" TargetMode="External"/><Relationship Id="rId251" Type="http://schemas.openxmlformats.org/officeDocument/2006/relationships/hyperlink" Target="https://www.accessdata.fda.gov/drugsatfda_docs/label/2015/125522s000lbl.pdf%0a%20https:/www.accessdata.fda.gov/drugsatfda_docs/appletter/2015/125522Orig1s000ltr.pdf%0a%20https:/www.accessdata.fda.gov/drugsatfda_docs/nda/2015/125522Orig1s000TOC.cfm%0a%20https:/www.accessdata.fda.gov/drugsatfda_docs/nda/2015/125522Orig1s000SumR.pdf" TargetMode="External"/><Relationship Id="rId25" Type="http://schemas.openxmlformats.org/officeDocument/2006/relationships/hyperlink" Target="https://www.accessdata.fda.gov/drugsatfda_docs/label/2020/206966lbl.pdf%0a%20https:/www.accessdata.fda.gov/drugsatfda_docs/appletter/2020/206966Orig1s000ltr.pdf%0a%20https:/www.accessdata.fda.gov/drugsatfda_docs/nda/2020/206966Orig1s000TOC.cfm" TargetMode="External"/><Relationship Id="rId46" Type="http://schemas.openxmlformats.org/officeDocument/2006/relationships/hyperlink" Target="https://www.accessdata.fda.gov/drugsatfda_docs/label/2020/212728s000lbl.pdf%0a%20https:/www.accessdata.fda.gov/drugsatfda_docs/appletter/2020/212728Orig1s000ltr.pdf%0a%20https:/www.accessdata.fda.gov/drugsatfda_docs/nda/2020/212728Orig1s000TOC.cfm" TargetMode="External"/><Relationship Id="rId67" Type="http://schemas.openxmlformats.org/officeDocument/2006/relationships/hyperlink" Target="https://www.accessdata.fda.gov/drugsatfda_docs/label/2020/761136orig2lbl.pdf%0a%20https:/www.accessdata.fda.gov/drugsatfda_docs/appletter/2020/761136Orig2s000ltr.pdf%0a%20https:/www.accessdata.fda.gov/drugsatfda_docs/nda/2020/761136Orig2s000TOC.cfm" TargetMode="External"/><Relationship Id="rId272" Type="http://schemas.openxmlformats.org/officeDocument/2006/relationships/hyperlink" Target="https://www.accessdata.fda.gov/drugsatfda_docs/label/2015/206316lbl.pdf%0a%20https:/www.accessdata.fda.gov/drugsatfda_docs/appletter/2015/206316Orig2s000ltr.pdf%0a%20https:/www.accessdata.fda.gov/drugsatfda_docs/appletter/2015/206316Orig1s000ltr.pdf%0a%20https:/www.accessdata.fda.gov/drugsatfda_docs/nda/2015/206316Orig1Orig2s000TOC.cfm%0a%20https:/www.accessdata.fda.gov/drugsatfda_docs/nda/2015/206316Orig1Orig2s000SumR.pdf" TargetMode="External"/><Relationship Id="rId88" Type="http://schemas.openxmlformats.org/officeDocument/2006/relationships/hyperlink" Target="https://www.accessdata.fda.gov/drugsatfda_docs/label/2019/210557s000lbl.pdf%0a%20https:/www.accessdata.fda.gov/drugsatfda_docs/appletter/2019/210557Orig1s000ltr.pdf%0a%20https:/www.accessdata.fda.gov/drugsatfda_docs/nda/2019/210557Orig1s000TOC.cfm" TargetMode="External"/><Relationship Id="rId111" Type="http://schemas.openxmlformats.org/officeDocument/2006/relationships/hyperlink" Target="https://www.accessdata.fda.gov/drugsatfda_docs/label/2018/210598s000lbl.pdf%0a%20https:/www.accessdata.fda.gov/drugsatfda_docs/appletter/2018/210598Orig1s000ltr.pdf%0a%20https:/www.accessdata.fda.gov/drugsatfda_docs/nda/2018/210598Orig1s000TOC.cfm" TargetMode="External"/><Relationship Id="rId132" Type="http://schemas.openxmlformats.org/officeDocument/2006/relationships/hyperlink" Target="https://www.accessdata.fda.gov/drugsatfda_docs/label/2018/210922s000lbl.pdf%0a%20https:/www.accessdata.fda.gov/drugsatfda_docs/appletter/2018/210922Orig1s000ltr.pdf%0a%20https:/www.accessdata.fda.gov/drugsatfda_docs/nda/2018/210922Orig1s000TOC.cfm" TargetMode="External"/><Relationship Id="rId153" Type="http://schemas.openxmlformats.org/officeDocument/2006/relationships/hyperlink" Target="https://www.accessdata.fda.gov/drugsatfda_docs/label/2018/209299lbl.pdf%0a%20https:/www.accessdata.fda.gov/drugsatfda_docs/appletter/2018/209299Orig1s000ltr.pdf%0a%20https:/www.accessdata.fda.gov/drugsatfda_docs/nda/2018/209299Orig1s000TOC.cfm" TargetMode="External"/><Relationship Id="rId174" Type="http://schemas.openxmlformats.org/officeDocument/2006/relationships/hyperlink" Target="https://www.accessdata.fda.gov/drugsatfda_docs/label/2017/209570lbl.pdf%0a%20https:/www.accessdata.fda.gov/drugsatfda_docs/appletter/2017/209570Orig1s000ltr.pdf%0a%20https:/www.accessdata.fda.gov/drugsatfda_docs/nda/2017/209570Orig1s000TOC.cfm" TargetMode="External"/><Relationship Id="rId195" Type="http://schemas.openxmlformats.org/officeDocument/2006/relationships/hyperlink" Target="https://www.accessdata.fda.gov/drugsatfda_docs/label/2017/761053lbl.pdf%0a%20https:/www.accessdata.fda.gov/drugsatfda_docs/appletter/2017/761053Orig1s000ltr.pdf%0a%20https:/www.accessdata.fda.gov/drugsatfda_docs/nda/2017/761053Orig1s000TOC.cfm" TargetMode="External"/><Relationship Id="rId209" Type="http://schemas.openxmlformats.org/officeDocument/2006/relationships/hyperlink" Target="https://www.accessdata.fda.gov/drugsatfda_docs/label/2016/761046s000lbl.pdf%0a%20https:/www.accessdata.fda.gov/drugsatfda_docs/appletter/2016/761046Orig1s000ltr.pdf%0a%20https:/www.accessdata.fda.gov/drugsatfda_docs/nda/2016/761046_toc.cfm%0a%20https:/www.accessdata.fda.gov/drugsatfda_docs/nda/2016/761046Orig1s000SumR.pdf" TargetMode="External"/><Relationship Id="rId220" Type="http://schemas.openxmlformats.org/officeDocument/2006/relationships/hyperlink" Target="https://www.accessdata.fda.gov/drugsatfda_docs/label/2016/207318lbl.pdf%0a%20https:/www.accessdata.fda.gov/drugsatfda_docs/appletter/2016/207318Orig1s000ltr.pdf%0a%20https:/www.accessdata.fda.gov/drugsatfda_docs/nda/2016/207318Orig1s000TOC.cfm%0a%20https:/www.accessdata.fda.gov/drugsatfda_docs/nda/2016/207318Orig1s000SumR.pdf" TargetMode="External"/><Relationship Id="rId241" Type="http://schemas.openxmlformats.org/officeDocument/2006/relationships/hyperlink" Target="https://www.accessdata.fda.gov/drugsatfda_docs/label/2015/125513s000lbl.pdf%0a%20https:/www.accessdata.fda.gov/drugsatfda_docs/appletter/2015/125513Orig1s000ltr.pdf%0a%20https:/www.accessdata.fda.gov/drugsatfda_docs/nda/2015/125513Orig1s000TOC.cfm%0a%20https:/www.accessdata.fda.gov/drugsatfda_docs/nda/2015/125513Orig1s000SumR.pdf" TargetMode="External"/><Relationship Id="rId15" Type="http://schemas.openxmlformats.org/officeDocument/2006/relationships/hyperlink" Target="https://www.accessdata.fda.gov/drugsatfda_docs/label/2020/213227s000lbl.pdf%0a%20https:/www.accessdata.fda.gov/drugsatfda_docs/appletter/2020/213227Orig1s000ltr.pdf%0a%20https:/www.accessdata.fda.gov/drugsatfda_docs/nda/2020/213227Orig1s000TOC.cfm" TargetMode="External"/><Relationship Id="rId36" Type="http://schemas.openxmlformats.org/officeDocument/2006/relationships/hyperlink" Target="https://www.accessdata.fda.gov/drugsatfda_docs/label/2020/213246s000lbl.pdf%0a%20https:/www.accessdata.fda.gov/drugsatfda_docs/appletter/2020/213246Orig1s000ltr.pdf%0a%20https:/www.accessdata.fda.gov/drugsatfda_docs/nda/2020/213246Orig1s000TOC.cfm" TargetMode="External"/><Relationship Id="rId57" Type="http://schemas.openxmlformats.org/officeDocument/2006/relationships/hyperlink" Target="https://www.accessdata.fda.gov/drugsatfda_docs/appletter/2019/209500Orig1s000ltr.pdf%0a%20https:/www.accessdata.fda.gov/drugsatfda_docs/nda/2019/209500Orig1s000TOC.cfm" TargetMode="External"/><Relationship Id="rId262" Type="http://schemas.openxmlformats.org/officeDocument/2006/relationships/hyperlink" Target="https://www.accessdata.fda.gov/drugsatfda_docs/label/2015/206143Orig1s000lbl.pdf%0a%20https:/www.accessdata.fda.gov/drugsatfda_docs/appletter/2015/206143Orig1s000ltr.pdf%0a%20https:/www.accessdata.fda.gov/drugsatfda_docs/nda/2015/206143Orig1s000TOC.cfm" TargetMode="External"/><Relationship Id="rId78" Type="http://schemas.openxmlformats.org/officeDocument/2006/relationships/hyperlink" Target="https://www.accessdata.fda.gov/drugsatfda_docs/label/2019/211672s000,211673s000lbl.pdf%0a%20https:/www.accessdata.fda.gov/drugsatfda_docs/appletter/2019/211672Orig1s000,%20211673Orig1s000ltr.pdf%0a%20https:/www.accessdata.fda.gov/drugsatfda_docs/nda/2019/211672Orig1s000,%20211673Orig1s000TOC.cfm" TargetMode="External"/><Relationship Id="rId99" Type="http://schemas.openxmlformats.org/officeDocument/2006/relationships/hyperlink" Target="https://www.accessdata.fda.gov/drugsatfda_docs/label/2019/761112Orig1s000ltr.pdf%0a%20https:/www.accessdata.fda.gov/drugsatfda_docs/appletter/2019/761112Orig1s000ltr.pdf%0a%20https:/www.accessdata.fda.gov/drugsatfda_docs/nda/2019/761112Orig1s000TOC.cfm" TargetMode="External"/><Relationship Id="rId101" Type="http://schemas.openxmlformats.org/officeDocument/2006/relationships/hyperlink" Target="https://www.accessdata.fda.gov/drugsatfda_docs/label/2018/761108s000lbl.pdf%0a%20https:/www.accessdata.fda.gov/drugsatfda_docs/appletter/2018/761108Orig1s000Ltr.pdf%0a%20https:/www.accessdata.fda.gov/drugsatfda_docs/nda/2018/761108Orig1s000TOC.cfm" TargetMode="External"/><Relationship Id="rId122" Type="http://schemas.openxmlformats.org/officeDocument/2006/relationships/hyperlink" Target="https://www.accessdata.fda.gov/drugsatfda_docs/label/2018/211155s000lbl.pdf%0a%20https:/www.accessdata.fda.gov/drugsatfda_docs/appletter/2018/211155Orig1s000ltr.pdf%0a%20https:/www.accessdata.fda.gov/drugsatfda_docs/nda/2018/211155Orig1Orig2s000TOC.cfm" TargetMode="External"/><Relationship Id="rId143" Type="http://schemas.openxmlformats.org/officeDocument/2006/relationships/hyperlink" Target="https://www.accessdata.fda.gov/drugsatfda_docs/label/2018/210365lbl.pdf%0a%20https:/www.accessdata.fda.gov/drugsatfda_docs/appletter/2018/210365Orig1s000Ltr.pdf%0a%20https:/www.accessdata.fda.gov/drugsatfda_docs/nda/2018/210365Orig1s000TOC.cfm" TargetMode="External"/><Relationship Id="rId164" Type="http://schemas.openxmlformats.org/officeDocument/2006/relationships/hyperlink" Target="https://www.accessdata.fda.gov/drugsatfda_docs/label/2017/209637lbl.pdf%0a%20https:/www.accessdata.fda.gov/drugsatfda_docs/appletter/2017/209637s000ltr.pdf%0a%20https:/www.accessdata.fda.gov/drugsatfda_docs/nda/2017/209637Orig1s000TOC.cfm" TargetMode="External"/><Relationship Id="rId185" Type="http://schemas.openxmlformats.org/officeDocument/2006/relationships/hyperlink" Target="https://www.fda.gov/STIC/" TargetMode="External"/><Relationship Id="rId9" Type="http://schemas.openxmlformats.org/officeDocument/2006/relationships/hyperlink" Target="https://www.accessdata.fda.gov/drugsatfda_docs/label/2020/213793Orig1s000RPLlbl.pdf%0a%20https:/www.accessdata.fda.gov/drugsatfda_docs/appletter/2020/213793Orig1s000ltr.pdf%0a%20https:/www.accessdata.fda.gov/drugsatfda_docs/nda/2020/213793Orig1s000TOC.cfm" TargetMode="External"/><Relationship Id="rId210" Type="http://schemas.openxmlformats.org/officeDocument/2006/relationships/hyperlink" Target="https://www.accessdata.fda.gov/drugsatfda_docs/label/2016/761038lbl.pdf%0a%20https:/www.accessdata.fda.gov/drugsatfda_docs/appletter/2016/761038Orig1s000ltr.pdf%0a%20https:/www.accessdata.fda.gov/drugsatfda_docs/nda/2016/761038Orig1s000TOC.cfm" TargetMode="External"/><Relationship Id="rId26" Type="http://schemas.openxmlformats.org/officeDocument/2006/relationships/hyperlink" Target="https://www.accessdata.fda.gov/drugsatfda_docs/label/2020/212576s000lbl.pdf%0a%20https:/www.accessdata.fda.gov/drugsatfda_docs/appletter/2020/212576Orig1s000ltr.pdf%0a%20https:/www.accessdata.fda.gov/drugsatfda_docs/nda/2020/212576Orig1s000TOC.cfm" TargetMode="External"/><Relationship Id="rId231" Type="http://schemas.openxmlformats.org/officeDocument/2006/relationships/hyperlink" Target="https://www.accessdata.fda.gov/drugsatfda_docs/label/2015/208434s000lbl.pdf%0a%20https:/www.accessdata.fda.gov/drugsatfda_docs/nda/2015/208434Orig1s000TOC.cfm%0a%20https:/www.accessdata.fda.gov/drugsatfda_docs/nda/2015/208434Orig1s000SumR.pdf" TargetMode="External"/><Relationship Id="rId252" Type="http://schemas.openxmlformats.org/officeDocument/2006/relationships/hyperlink" Target="https://www.accessdata.fda.gov/drugsatfda_docs/label/2015/022526lbl.pdf%0a%20https:/www.accessdata.fda.gov/drugsatfda_docs/appletter/2015/022526Orig1s000Ltr.pdf%0a%20https:/www.accessdata.fda.gov/drugsatfda_docs/nda/2015/022526Orig1s000TOC.cfm%0a%20https:/www.accessdata.fda.gov/drugsatfda_docs/nda/2015/022526Orig1s000SumRedt.pdf" TargetMode="External"/><Relationship Id="rId47" Type="http://schemas.openxmlformats.org/officeDocument/2006/relationships/hyperlink" Target="https://www.accessdata.fda.gov/drugsatfda_docs/label/2020/209510s000lbl.pdf%0a%20https:/www.accessdata.fda.gov/drugsatfda_docs/appletter/2020/209510Orig1s000ltr.pdf%0a%20https:/www.accessdata.fda.gov/drugsatfda_docs/nda/2020/209510Orig1s000TOC.cfm" TargetMode="External"/><Relationship Id="rId68" Type="http://schemas.openxmlformats.org/officeDocument/2006/relationships/hyperlink" Target="https://www.accessdata.fda.gov/drugsatfda_docs/label/2019/212279lbl.pdf%0a%20https:/www.accessdata.fda.gov/drugsatfda_docs/appletter/2019/212279Orig1s000ltr.pdf%0a%20https:/www.accessdata.fda.gov/drugsatfda_docs/nda/2019/212279Orig1s000TOC.cfm" TargetMode="External"/><Relationship Id="rId89" Type="http://schemas.openxmlformats.org/officeDocument/2006/relationships/hyperlink" Target="https://www.accessdata.fda.gov/drugsatfda_docs/label/2019/761121s000lbl.pdf%0a%20https:/www.accessdata.fda.gov/drugsatfda_docs/appletter/2019/761121Orig1s000ltr.pdf%0a%20https:/www.accessdata.fda.gov/drugsatfda_docs/nda/2019/761121Orig1s000TOC.cfm" TargetMode="External"/><Relationship Id="rId112" Type="http://schemas.openxmlformats.org/officeDocument/2006/relationships/hyperlink" Target="https://www.accessdata.fda.gov/drugsatfda_docs/label/2018/210868s000lbl.pdf%0a%20https:/www.accessdata.fda.gov/drugsatfda_docs/appletter/2018/210868Orig1s000ltr.pdf%0a%20https:/www.accessdata.fda.gov/drugsatfda_docs/nda/2018/210868Orig1s000TOC.cfm" TargetMode="External"/><Relationship Id="rId133" Type="http://schemas.openxmlformats.org/officeDocument/2006/relationships/hyperlink" Target="https://www.accessdata.fda.gov/drugsatfda_docs/label/2018/761051s000lbl.pdf%0a%20https:/www.accessdata.fda.gov/drugsatfda_docs/appletter/2018/761051Orig1s000Ltr.pdf%0a%20https:/www.accessdata.fda.gov/drugsatfda_docs/nda/2018/761051Orig1s000TOC.cfm" TargetMode="External"/><Relationship Id="rId154" Type="http://schemas.openxmlformats.org/officeDocument/2006/relationships/hyperlink" Target="https://www.accessdata.fda.gov/drugsatfda_docs/label/2018/761067s000lbl.pdf%0a%20https:/www.accessdata.fda.gov/drugsatfda_docs/appletter/2018/761067Orig1s000REPLACEMENT_ltr.pdf%0a%20https:/www.accessdata.fda.gov/drugsatfda_docs/nda/2018/761067Orig1s000TOC.cfm" TargetMode="External"/><Relationship Id="rId175" Type="http://schemas.openxmlformats.org/officeDocument/2006/relationships/hyperlink" Target="https://www.accessdata.fda.gov/drugsatfda_docs/label/2017/209776lbl.pdf%0a%20https:/www.accessdata.fda.gov/drugsatfda_docs/appletter/2017/209776Orig1s000ltr.pdf%0a%20https:/www.accessdata.fda.gov/drugsatfda_docs/nda/2017/209776Orig1s000TOC.cfm" TargetMode="External"/><Relationship Id="rId196" Type="http://schemas.openxmlformats.org/officeDocument/2006/relationships/hyperlink" Target="https://www.accessdata.fda.gov/drugsatfda_docs/label/2017/761055lbl.pdf%0a%20https:/www.accessdata.fda.gov/drugsatfda_docs/appletter/2017/761055Orig1s000ltr.pdf%0a%20https:/www.accessdata.fda.gov/drugsatfda_docs/nda/2017/761055Orig1s000TOC.cfm" TargetMode="External"/><Relationship Id="rId200" Type="http://schemas.openxmlformats.org/officeDocument/2006/relationships/hyperlink" Target="https://www.accessdata.fda.gov/drugsatfda_docs/label/2017/209092s000lbl.pdf%0a%20https:/www.accessdata.fda.gov/drugsatfda_docs/appletter/2017/209092s000ltredt.pdf%0a%20https:/www.accessdata.fda.gov/drugsatfda_docs/nda/2017/209092Orig1s000TOC.cfm" TargetMode="External"/><Relationship Id="rId16" Type="http://schemas.openxmlformats.org/officeDocument/2006/relationships/hyperlink" Target="https://www.accessdata.fda.gov/drugsatfda_docs/label/2020/761156s000lbl.pdf%0a%20https:/www.accessdata.fda.gov/drugsatfda_docs/appletter/2020/761156Orig1s000ltr.pdf%0a%20https:/www.accessdata.fda.gov/drugsatfda_docs/nda/2020/761156Orig1s000TOC.cfm" TargetMode="External"/><Relationship Id="rId221" Type="http://schemas.openxmlformats.org/officeDocument/2006/relationships/hyperlink" Target="https://www.accessdata.fda.gov/drugsatfda_docs/label/2016/208573s000lbl.pdf%0a%20https:/www.accessdata.fda.gov/drugsatfda_docs/appletter/2016/208573Orig1s000ltr.pdf%0a%20https:/www.accessdata.fda.gov/drugsatfda_docs/nda/2016/208573Orig1s000TOC.cfm%0a%20https:/www.accessdata.fda.gov/drugsatfda_docs/nda/2016/208573Orig1s000SumR.pdf" TargetMode="External"/><Relationship Id="rId242" Type="http://schemas.openxmlformats.org/officeDocument/2006/relationships/hyperlink" Target="https://www.accessdata.fda.gov/drugsatfda_docs/label/2015/207953s000lbl.pdf%0a%20https:/www.accessdata.fda.gov/drugsatfda_docs/appletter/2015/207953Orig1s000ltr.pdf%0a%20https:/www.accessdata.fda.gov/drugsatfda_docs/nda/2015/207953Orig1s000TOC.cfm%0a%20https:/www.accessdata.fda.gov/drugsatfda_docs/nda/2015/207953Orig1s000SumR.pdf" TargetMode="External"/><Relationship Id="rId263" Type="http://schemas.openxmlformats.org/officeDocument/2006/relationships/hyperlink" Target="https://www.accessdata.fda.gov/drugsatfda_docs/label/2015/205750lbl.pdf%0a%20https:/www.accessdata.fda.gov/drugsatfda_docs/appletter/2015/205750Orig1s000ltr.pdf%0a%20https:/www.accessdata.fda.gov/drugsatfda_docs/nda/2015/205750Orig1s000TOC.cfm" TargetMode="External"/><Relationship Id="rId37" Type="http://schemas.openxmlformats.org/officeDocument/2006/relationships/hyperlink" Target="https://www.accessdata.fda.gov/drugsatfda_docs/label/2020/213591s000lbl.pdf%0a%20https:/www.accessdata.fda.gov/drugsatfda_docs/appletter/2020/213591Orig1s000ltr.pdf%0a%20https:/www.accessdata.fda.gov/drugsatfda_docs/nda/2020/213591Orig1s000TOC.cfm" TargetMode="External"/><Relationship Id="rId58" Type="http://schemas.openxmlformats.org/officeDocument/2006/relationships/hyperlink" Target="https://www.accessdata.fda.gov/drugsatfda_docs/label/2019/209569s000lbl.pdf%0a%20https:/www.accessdata.fda.gov/drugsatfda_docs/appletter/2019/209569Orig1s000ltr.pdf%0a%20https:/www.accessdata.fda.gov/drugsatfda_docs/nda/2019/209569Orig1s000TOC.cfm" TargetMode="External"/><Relationship Id="rId79" Type="http://schemas.openxmlformats.org/officeDocument/2006/relationships/hyperlink" Target="https://www.accessdata.fda.gov/drugsatfda_docs/label/2019/211675s000lbl.pdf%0a%20https:/www.accessdata.fda.gov/drugsatfda_docs/appletter/2019/211675Orig1s000ltr.pdf%0a%20https:/www.accessdata.fda.gov/drugsatfda_docs/nda/2019/211675Orig1s000TOC.cfm" TargetMode="External"/><Relationship Id="rId102" Type="http://schemas.openxmlformats.org/officeDocument/2006/relationships/hyperlink" Target="https://www.accessdata.fda.gov/drugsatfda_docs/label/2018/761116s000lbl.pdf%0a%20https:/www.accessdata.fda.gov/drugsatfda_docs/nda/2018/761116Orig1s000TOC.cfm" TargetMode="External"/><Relationship Id="rId123" Type="http://schemas.openxmlformats.org/officeDocument/2006/relationships/hyperlink" Target="https://www.accessdata.fda.gov/drugsatfda_docs/label/2018/761089s000lbl.pdf%0a%20https:/www.accessdata.fda.gov/drugsatfda_docs/appletter/2018/761089Orig1s000ltr.pdf%0a%20https:/www.accessdata.fda.gov/drugsatfda_docs/nda/2018/761089Orig1s000TOC.cfm" TargetMode="External"/><Relationship Id="rId144" Type="http://schemas.openxmlformats.org/officeDocument/2006/relationships/hyperlink" Target="https://www.accessdata.fda.gov/drugsatfda_docs/label/2018/210867lbl.pdf%0a%20https:/www.accessdata.fda.gov/drugsatfda_docs/appletter/2018/210867Orig1s000Ltr.pdf%0a%20https:/www.accessdata.fda.gov/drugsatfda_docs/nda/2018/210867Orig1s000TOC.cfm" TargetMode="External"/><Relationship Id="rId90" Type="http://schemas.openxmlformats.org/officeDocument/2006/relationships/hyperlink" Target="https://www.accessdata.fda.gov/drugsatfda_docs/label/2019/212526s000lbl.pdf%0a%20https:/www.accessdata.fda.gov/drugsatfda_docs/appletter/2019/212526Orig1s000ltr.pdf%0a%20https:/www.accessdata.fda.gov/drugsatfda_docs/nda/2019/212526Orig1s000TOC.cfm" TargetMode="External"/><Relationship Id="rId165" Type="http://schemas.openxmlformats.org/officeDocument/2006/relationships/hyperlink" Target="https://www.accessdata.fda.gov/drugsatfda_docs/label/2017/761083s000lbl.pdf%0a%20https:/www.accessdata.fda.gov/drugsatfda_docs/appletter/2017/761083Orig1s000ltr.pdf%0a%20https:/www.accessdata.fda.gov/drugsatfda_docs/nda/2017/761083Orig1s000TOC.cfm" TargetMode="External"/><Relationship Id="rId186" Type="http://schemas.openxmlformats.org/officeDocument/2006/relationships/hyperlink" Target="https://www.accessdata.fda.gov/drugsatfda_docs/label/2017/761037s000lbl.pdf%0a%20https:/www.accessdata.fda.gov/drugsatfda_docs/appletter/2017/761037Orig1s000ltr.pdf%0a%20https:/www.accessdata.fda.gov/drugsatfda_docs/nda/2017/761037Orig1s000TOC.cfm" TargetMode="External"/><Relationship Id="rId211" Type="http://schemas.openxmlformats.org/officeDocument/2006/relationships/hyperlink" Target="https://www.accessdata.fda.gov/drugsatfda_docs/label/2016/206488lbl.pdf%0a%20https:/www.accessdata.fda.gov/drugsatfda_docs/appletter/2016/206488Orig1s000ltr.pdf%0a%20https:/www.accessdata.fda.gov/drugsatfda_docs/nda/2016/206488_TOC.cfm%0a%20https:/www.accessdata.fda.gov/drugsatfda_docs/nda/2016/206488_summary%20review_Redacted.pdf" TargetMode="External"/><Relationship Id="rId232" Type="http://schemas.openxmlformats.org/officeDocument/2006/relationships/hyperlink" Target="https://www.accessdata.fda.gov/drugsatfda_docs/label/2015/125561s000lbl.pdf%0a%20https:/www.accessdata.fda.gov/drugsatfda_docs/appletter/2015/125561Orig1s000ltr.pdf%0a%20https:/www.accessdata.fda.gov/drugsatfda_docs/nda/2015/125561Orig1s000TOC.cfm" TargetMode="External"/><Relationship Id="rId253" Type="http://schemas.openxmlformats.org/officeDocument/2006/relationships/hyperlink" Target="https://www.accessdata.fda.gov/drugsatfda_docs/label/2015/206843s000lbl.pdf%0a%20https:/www.accessdata.fda.gov/drugsatfda_docs/appletter/2015/206843Orig1s000ltr.pdf%0a%20https:/www.accessdata.fda.gov/drugsatfda_docs/nda/2015/206843Orig1s000TOC.cfm" TargetMode="External"/><Relationship Id="rId27" Type="http://schemas.openxmlformats.org/officeDocument/2006/relationships/hyperlink" Target="https://www.accessdata.fda.gov/drugsatfda_docs/label/2020/212950s000lbl.pdf%0a%20https:/www.accessdata.fda.gov/drugsatfda_docs/appletter/2020/212950Orig1s000ltr.pdf%0a%20https:/www.accessdata.fda.gov/drugsatfda_docs/nda/2020/212950Orig1s000TOC.cfm" TargetMode="External"/><Relationship Id="rId48" Type="http://schemas.openxmlformats.org/officeDocument/2006/relationships/hyperlink" Target="https://www.accessdata.fda.gov/drugsatfda_docs/label/2020/761119s000lbl.pdf%0a%20https:/www.accessdata.fda.gov/drugsatfda_docs/appletter/2020/761119Orig1s000ltr.pdf%0a%20https:/www.accessdata.fda.gov/drugsatfda_docs/nda/2020/761119Orig1s000TOC.cfm" TargetMode="External"/><Relationship Id="rId69" Type="http://schemas.openxmlformats.org/officeDocument/2006/relationships/hyperlink" Target="https://www.accessdata.fda.gov/drugsatfda_docs/label/2019/212273s000lbl.pdf%0a%20https:/www.accessdata.fda.gov/drugsatfda_docs/appletter/2019/212273Orig1s000ltr.pdf%0a%20https:/www.accessdata.fda.gov/drugsatfda_docs/nda/2019/212273Orig1s000TOC.cfm" TargetMode="External"/><Relationship Id="rId113" Type="http://schemas.openxmlformats.org/officeDocument/2006/relationships/hyperlink" Target="https://www.accessdata.fda.gov/drugsatfda_docs/label/2018/210854s000lbl.pdf%0a%20https:/www.accessdata.fda.gov/drugsatfda_docs/appletter/2018/210854Orig1s000ltr_ReplacementLtr.pdf%0a%20https:/www.accessdata.fda.gov/drugsatfda_docs/nda/2018/210854Orig1s000TOC.cfm" TargetMode="External"/><Relationship Id="rId134" Type="http://schemas.openxmlformats.org/officeDocument/2006/relationships/hyperlink" Target="https://www.accessdata.fda.gov/drugsatfda_docs/label/2018/210923s000lbl.pdf%0a%20https:/www.accessdata.fda.gov/drugsatfda_docs/appletter/2018/210923Orig1s000Ltr.pdf%0a%20https:/www.accessdata.fda.gov/drugsatfda_docs/nda/2018/210923Orig1s000TOC.cfm" TargetMode="External"/><Relationship Id="rId80" Type="http://schemas.openxmlformats.org/officeDocument/2006/relationships/hyperlink" Target="https://www.accessdata.fda.gov/drugsatfda_docs/label/2019/212327s000lbl.pdf%0a%20https:/www.accessdata.fda.gov/drugsatfda_docs/appletter/2019/212327Orig1s000ltr.pdf%0a%20https:/www.accessdata.fda.gov/drugsatfda_docs/nda/2019/212327Orig1s000TOC.cfm" TargetMode="External"/><Relationship Id="rId155" Type="http://schemas.openxmlformats.org/officeDocument/2006/relationships/hyperlink" Target="https://www.accessdata.fda.gov/drugsatfda_docs/label/2018/761065lbl.pdf%0a%20https:/www.accessdata.fda.gov/drugsatfda_docs/appletter/2018/761065Orig1s000ltr.pdf%0a%20https:/www.accessdata.fda.gov/drugsatfda_docs/nda/2018/TROGARZO_761065_TOC.cfm" TargetMode="External"/><Relationship Id="rId176" Type="http://schemas.openxmlformats.org/officeDocument/2006/relationships/hyperlink" Target="https://www.fda.gov/STIC/" TargetMode="External"/><Relationship Id="rId197" Type="http://schemas.openxmlformats.org/officeDocument/2006/relationships/hyperlink" Target="https://www.accessdata.fda.gov/drugsatfda_docs/label/2017/208854s000lbl.pdf%0a%20https:/www.accessdata.fda.gov/drugsatfda_docs/appletter/2017/208854Orig1s000ltr.pdf%0a%20https:/www.accessdata.fda.gov/drugsatfda_docs/nda/2017/208854Orig1s000TOC.cfm" TargetMode="External"/><Relationship Id="rId201" Type="http://schemas.openxmlformats.org/officeDocument/2006/relationships/hyperlink" Target="https://www.accessdata.fda.gov/drugsatfda_docs/label/2017/208794s000lbl.pdf%0a%20https:/www.accessdata.fda.gov/drugsatfda_docs/appletter/2017/208794Orig1s00ltredt.pdf%0a%20https:/www.accessdata.fda.gov/drugsatfda_docs/nda/2017/208794Orig1s000TOC.cfm" TargetMode="External"/><Relationship Id="rId222" Type="http://schemas.openxmlformats.org/officeDocument/2006/relationships/hyperlink" Target="https://www.accessdata.fda.gov/drugsatfda_docs/label/2016/208114Orig1s000Lbl.pdf%0a%20https:/www.accessdata.fda.gov/drugsatfda_docs/appletter/2016/208114Orig1s000ltr.pdf%0a%20https:/www.accessdata.fda.gov/drugsatfda_docs/nda/2016/208114Orig1s000TOC.cfm%0a%20https:/www.accessdata.fda.gov/drugsatfda_docs/nda/2016/208114Orig1s000SumR.pdf" TargetMode="External"/><Relationship Id="rId243" Type="http://schemas.openxmlformats.org/officeDocument/2006/relationships/hyperlink" Target="https://www.accessdata.fda.gov/drugsatfda_docs/label/2015/205739s000lbl.pdf%0a%20https:/www.accessdata.fda.gov/drugsatfda_docs/appletter/2015/205739Orig1s000ltr.pdf%0a%20https:/www.accessdata.fda.gov/drugsatfda_docs/nda/2015/205739Orig1s000TOC.cfm" TargetMode="External"/><Relationship Id="rId264" Type="http://schemas.openxmlformats.org/officeDocument/2006/relationships/hyperlink" Target="https://www.accessdata.fda.gov/drugsatfda_docs/label/2015/125516s000lbl.pdf%0a%20https:/www.accessdata.fda.gov/drugsatfda_docs/appletter/2015/125516Orig1s000ltr.pdf%0a%20https:/www.accessdata.fda.gov/drugsatfda_docs/nda/2015/125516Orig1s000TOC.cfm%0a%20https:/www.accessdata.fda.gov/drugsatfda_docs/nda/2015/125516Orig1s000SumR.pdf" TargetMode="External"/><Relationship Id="rId17" Type="http://schemas.openxmlformats.org/officeDocument/2006/relationships/hyperlink" Target="https://www.accessdata.fda.gov/drugsatfda_docs/label/2020/213433s000lbl.pdf%0a%20https:/www.accessdata.fda.gov/drugsatfda_docs/appletter/2020/213433Orig1s000ltr.pdf%0a%20https:/www.accessdata.fda.gov/drugsatfda_docs/nda/2020/213433Orig1s000TOC.cfm" TargetMode="External"/><Relationship Id="rId38" Type="http://schemas.openxmlformats.org/officeDocument/2006/relationships/hyperlink" Target="https://www.accessdata.fda.gov/drugsatfda_docs/label/2020/212489s000lbl.pdf%0a%20https:/www.accessdata.fda.gov/drugsatfda_docs/appletter/2020/212489Orig1s000ltr.pdf%0a%20https:/www.accessdata.fda.gov/drugsatfda_docs/nda/2020/212489Orig1s000TOC.cfm" TargetMode="External"/><Relationship Id="rId59" Type="http://schemas.openxmlformats.org/officeDocument/2006/relationships/hyperlink" Target="https://www.accessdata.fda.gov/drugsatfda_docs/label/2019/761137s000lbl.pdf%0a%20https:/www.accessdata.fda.gov/drugsatfda_docs/appletter/2019/761137Orig1s000ltr.pdf%0a%20https:/www.accessdata.fda.gov/drugsatfda_docs/nda/2019/761137Orig1s000TOC.cfm" TargetMode="External"/><Relationship Id="rId103" Type="http://schemas.openxmlformats.org/officeDocument/2006/relationships/hyperlink" Target="https://www.accessdata.fda.gov/drugsatfda_docs/label/2018/761102s000lbl.pdf%0a%20https:/www.accessdata.fda.gov/drugsatfda_docs/appletter/2018/761102Orig1s000Ltr.pdf%0a%20https:/www.accessdata.fda.gov/drugsatfda_docs/nda/2018/761102Orig1s000TOC.cfm" TargetMode="External"/><Relationship Id="rId124" Type="http://schemas.openxmlformats.org/officeDocument/2006/relationships/hyperlink" Target="https://www.accessdata.fda.gov/drugsatfda_docs/label/2018/761104s000lbl.pdf%0a%20https:/www.accessdata.fda.gov/drugsatfda_docs/appletter/2018/761104Orig1s000Ltr.pdf%0a%20https:/www.accessdata.fda.gov/drugsatfda_docs/nda/2018/761104Orig1s000TOC.cfm" TargetMode="External"/><Relationship Id="rId70" Type="http://schemas.openxmlformats.org/officeDocument/2006/relationships/hyperlink" Target="https://www.accessdata.fda.gov/drugsatfda_docs/label/2019/211280s000lbl.pdf%0a%20https:/www.accessdata.fda.gov/drugsatfda_docs/appletter/2019/211280Orig1s000ltr.pdf%0a%20https:/www.accessdata.fda.gov/drugsatfda_docs/nda/2019/211280Orig1s000TOC.cfm" TargetMode="External"/><Relationship Id="rId91" Type="http://schemas.openxmlformats.org/officeDocument/2006/relationships/hyperlink" Target="https://www.accessdata.fda.gov/drugsatfda_docs/label/2019/211996s000,212161s000lbl.pdf%0a%20https:/www.accessdata.fda.gov/drugsatfda_docs/appletter/2019/211996Orig1s000,%20212161Orig1s000ltr.pdf%0a%20https:/www.accessdata.fda.gov/drugsatfda_docs/nda/2019/211996Orig1s000,%20212161Orig1s000TOC.cfm" TargetMode="External"/><Relationship Id="rId145" Type="http://schemas.openxmlformats.org/officeDocument/2006/relationships/hyperlink" Target="https://www.accessdata.fda.gov/drugsatfda_docs/label/2018/207924Orig1s000lbl.pdf%0a%20https:/www.accessdata.fda.gov/drugsatfda_docs/appletter/2018/207924Orig1s000ltr.pdf%0a%20https:/www.accessdata.fda.gov/drugsatfda_docs/nda/2018/207924Orig1s000TOC.cfm" TargetMode="External"/><Relationship Id="rId166" Type="http://schemas.openxmlformats.org/officeDocument/2006/relationships/hyperlink" Target="https://www.accessdata.fda.gov/drugsatfda_docs/label/2017/761047s000lbl.pdf%0a%20https:/www.accessdata.fda.gov/drugsatfda_docs/appletter/2017/761047Orig1s000ltr.pdf%0a%20https:/www.accessdata.fda.gov/drugsatfda_docs/nda/2017/761047Orig1s000TOC.cfm" TargetMode="External"/><Relationship Id="rId187" Type="http://schemas.openxmlformats.org/officeDocument/2006/relationships/hyperlink" Target="https://www.accessdata.fda.gov/drugsatfda_docs/label/2017/209176lbl.pdf%0a%20https:/www.accessdata.fda.gov/drugsatfda_docs/appletter/2017/209176Orig1s000ltr.pdf%0a%20https:/www.accessdata.fda.gov/drugsatfda_docs/nda/2017/209176Orig1s000TOC.cfm" TargetMode="External"/><Relationship Id="rId1" Type="http://schemas.openxmlformats.org/officeDocument/2006/relationships/hyperlink" Target="https://www.accessdata.fda.gov/drugsatfda_docs/label/2020/213006s000lbl.pdf%0a%20https:/www.accessdata.fda.gov/drugsatfda_docs/appletter/2020/213006Orig1s000ltr.pdf%0a%20https:/www.accessdata.fda.gov/drugsatfda_docs/nda/2020/213006Orig1s000TOC.cfm" TargetMode="External"/><Relationship Id="rId212" Type="http://schemas.openxmlformats.org/officeDocument/2006/relationships/hyperlink" Target="https://www.accessdata.fda.gov/drugsatfda_docs/label/2016/208471Orig1s000lbl.pdf%0a%20https:/www.accessdata.fda.gov/drugsatfda_docs/appletter/2016/208471Orig1s000ltr.pdf%0a%20https:/www.accessdata.fda.gov/drugsatfda_docs/nda/2016/208471Orig1s000TOC.cfm" TargetMode="External"/><Relationship Id="rId233" Type="http://schemas.openxmlformats.org/officeDocument/2006/relationships/hyperlink" Target="https://www.accessdata.fda.gov/drugsatfda_docs/label/2015/761035s000lbl.pdf%0a%20https:/www.accessdata.fda.gov/drugsatfda_docs/appletter/2015/761035Orig1s000ltr.pdf%0a%20https:/www.accessdata.fda.gov/drugsatfda_docs/nda/2015/761035Orig1s000TOC.cfm%0a%20https:/www.accessdata.fda.gov/drugsatfda_docs/nda/2015/761035Orig1s000SumR.pdf" TargetMode="External"/><Relationship Id="rId254" Type="http://schemas.openxmlformats.org/officeDocument/2006/relationships/hyperlink" Target="https://www.accessdata.fda.gov/drugsatfda_docs/label/2015/205266Orig1s000lbl.pdf%0a%20https:/www.accessdata.fda.gov/drugsatfda_docs/appletter/2015/205266Orig1s000ltr.pdf%0a%20https:/www.accessdata.fda.gov/drugsatfda_docs/nda/2015/205266Orig1s000TOC.cfm" TargetMode="External"/><Relationship Id="rId28" Type="http://schemas.openxmlformats.org/officeDocument/2006/relationships/hyperlink" Target="https://www.accessdata.fda.gov/drugsatfda_docs/label/2020/212295s000lbl.pdf%0a%20https:/www.accessdata.fda.gov/drugsatfda_docs/appletter/2020/212295Orig1s000ltr.pdf%0a%20https:/www.accessdata.fda.gov/drugsatfda_docs/nda/2020/212295Orig1s000TOC.cfm" TargetMode="External"/><Relationship Id="rId49" Type="http://schemas.openxmlformats.org/officeDocument/2006/relationships/hyperlink" Target="https://www.accessdata.fda.gov/drugsatfda_docs/label/2020/211616s000lbl.pdf%0a%20https:/www.accessdata.fda.gov/drugsatfda_docs/appletter/2020/211616Orig1s000ltr.pdf%0a%20https:/www.accessdata.fda.gov/drugsatfda_docs/nda/2020/211616Orig1s000TOC.cfm" TargetMode="External"/><Relationship Id="rId114" Type="http://schemas.openxmlformats.org/officeDocument/2006/relationships/hyperlink" Target="https://www.accessdata.fda.gov/drugsatfda_docs/label/2018/211651s000lbl.pdf%0a%20https:/www.accessdata.fda.gov/drugsatfda_docs/appletter/2018/211651Orig1s000ltr.pdf%0a%20https:/www.accessdata.fda.gov/drugsatfda_docs/nda/2018/211651Orig1s000TOC.cfm" TargetMode="External"/><Relationship Id="rId60" Type="http://schemas.openxmlformats.org/officeDocument/2006/relationships/hyperlink" Target="https://www.accessdata.fda.gov/drugsatfda_docs/label/2019/211970s000lbl.pdf%0a%20https:/www.accessdata.fda.gov/drugsatfda_docs/appletter/2019/211970Orig1s000ltr.pdf%0a%20https:/www.accessdata.fda.gov/drugsatfda_docs/nda/2019/211970Orig1s000TOC.cfm" TargetMode="External"/><Relationship Id="rId81" Type="http://schemas.openxmlformats.org/officeDocument/2006/relationships/hyperlink" Target="https://www.accessdata.fda.gov/drugsatfda_docs/label/2019/212725s000lbl.pdf%0a%20https:/www.accessdata.fda.gov/drugsatfda_docs/appletter/2019/212725Orig1s000ltr.pdf%0a%20https:/www.accessdata.fda.gov/drugsatfda_docs/nda/2019/212725Orig1s000,%20212726Orig1s000TOC.cfm" TargetMode="External"/><Relationship Id="rId135" Type="http://schemas.openxmlformats.org/officeDocument/2006/relationships/hyperlink" Target="https://www.accessdata.fda.gov/drugsatfda_docs/label/2018/0210589s000lbledt.pdf%0a%20https:/www.accessdata.fda.gov/drugsatfda_docs/appletter/2018/210589Orig1s000ltr.pdf%0a%20https:/www.accessdata.fda.gov/drugsatfda_docs/nda/2018/210589Orig1s000TOC.cfm" TargetMode="External"/><Relationship Id="rId156" Type="http://schemas.openxmlformats.org/officeDocument/2006/relationships/hyperlink" Target="https://www.accessdata.fda.gov/drugsatfda_docs/label/2018/210951s000lbl.pdf%0a%20https:/www.accessdata.fda.gov/drugsatfda_docs/appletter/2018/210951Orig1s000ltr.pdf%0a%20https:/www.accessdata.fda.gov/drugsatfda_docs/nda/2018/Erleada_210951_toc.cfm" TargetMode="External"/><Relationship Id="rId177" Type="http://schemas.openxmlformats.org/officeDocument/2006/relationships/hyperlink" Target="https://www.accessdata.fda.gov/drugsatfda_docs/label/2017/761040s000lbl.pdf%0a%20https:/www.accessdata.fda.gov/drugsatfda_docs/appletter/2017/761040Orig1s000ltr.pdf%0a%20https:/www.accessdata.fda.gov/drugsatfda_docs/nda/2017/761040Orig1s000TOC.cfm" TargetMode="External"/><Relationship Id="rId198" Type="http://schemas.openxmlformats.org/officeDocument/2006/relationships/hyperlink" Target="https://www.accessdata.fda.gov/drugsatfda_docs/label/2017/761049s000lbl.pdf%20%0a%20https:/www.accessdata.fda.gov/drugsatfda_docs/appletter/2017/761049Orig1s000ltredt.pdf%0a%20https:/www.accessdata.fda.gov/drugsatfda_docs/nda/2017/761049Orig1s000TOC.cfm" TargetMode="External"/><Relationship Id="rId202" Type="http://schemas.openxmlformats.org/officeDocument/2006/relationships/hyperlink" Target="https://www.accessdata.fda.gov/drugsatfda_docs/label/2017/761032lbl.pdf%0a%20https:/www.accessdata.fda.gov/drugsatfda_docs/appletter/2017/761032Orig1s000Ltr.pdf%0a%20https:/www.accessdata.fda.gov/drugsatfda_docs/nda/2017/761032Orig1s000TOC.cfm" TargetMode="External"/><Relationship Id="rId223" Type="http://schemas.openxmlformats.org/officeDocument/2006/relationships/hyperlink" Target="https://www.accessdata.fda.gov/drugsatfda_docs/label/2016/761033lbl.pdf%0a%20https:/www.accessdata.fda.gov/drugsatfda_docs/appletter/2016/761033Orig1s000ltr.pdf%0a%20https:/www.accessdata.fda.gov/drugsatfda_docs/nda/2016/761033Orig1s000TOC.cfm%0a%20https:/www.accessdata.fda.gov/drugsatfda_docs/nda/2016/761033Orig1s000SumR.pdf" TargetMode="External"/><Relationship Id="rId244" Type="http://schemas.openxmlformats.org/officeDocument/2006/relationships/hyperlink" Target="https://www.accessdata.fda.gov/drugsatfda_docs/label/2015/761025lbl.pdf%0a%20https:/www.accessdata.fda.gov/drugsatfda_docs/appletter/2015/761025Orig1s000ltr.pdf%0a%20https:/www.accessdata.fda.gov/drugsatfda_docs/nda/2015/0761025Orig1000TOC.cfm" TargetMode="External"/><Relationship Id="rId18" Type="http://schemas.openxmlformats.org/officeDocument/2006/relationships/hyperlink" Target="https://www.accessdata.fda.gov/drugsatfda_docs/label/2020/761149s000lbl.pdf%0a%20https:/www.accessdata.fda.gov/drugsatfda_docs/appletter/2020/761149Orig1s000ltr.pdf%0a%20https:/www.accessdata.fda.gov/drugsatfda_docs/nda/2020/761149Orig1s000TOC.cfm" TargetMode="External"/><Relationship Id="rId39" Type="http://schemas.openxmlformats.org/officeDocument/2006/relationships/hyperlink" Target="https://www.accessdata.fda.gov/drugsatfda_docs/label/2020/761115s000lbl.pdf%0a%20https:/www.accessdata.fda.gov/drugsatfda_docs/appletter/2020/761115Orig1s000ltr.pdf%0a%20https:/www.accessdata.fda.gov/drugsatfda_docs/nda/2020/761115Orig1s000TOC.cfm" TargetMode="External"/><Relationship Id="rId265" Type="http://schemas.openxmlformats.org/officeDocument/2006/relationships/hyperlink" Target="https://www.accessdata.fda.gov/drugsatfda_docs/label/2015/207500Orig1s000lbl.pdf%0a%20https:/www.accessdata.fda.gov/drugsatfda_docs/appletter/2015/207500Orig1s000ltr.pdf%0a%20https:/www.accessdata.fda.gov/drugsatfda_docs/nda/2015/207500Orig1207501Orig1s000TOC.cfm%0a%20https:/www.accessdata.fda.gov/drugsatfda_docs/nda/2015/207500Orig1207501Orig1s000Lbl.pdf" TargetMode="External"/><Relationship Id="rId50" Type="http://schemas.openxmlformats.org/officeDocument/2006/relationships/hyperlink" Target="https://www.accessdata.fda.gov/drugsatfda_docs/label/2020/211281s000lbl.pdf%0a%20https:/www.accessdata.fda.gov/drugsatfda_docs/appletter/2020/211281Orig1s000ltr.pdf%0a%20https:/www.accessdata.fda.gov/drugsatfda_docs/nda/2020/211281Orig1s000TOC.cfm" TargetMode="External"/><Relationship Id="rId104" Type="http://schemas.openxmlformats.org/officeDocument/2006/relationships/hyperlink" Target="https://www.accessdata.fda.gov/drugsatfda_docs/label/2018/210166s000lbl.pdf%0a%20https:/www.accessdata.fda.gov/drugsatfda_docs/appletter/2018/210166Orig1s000Ltr.pdf%0a%20https:/www.accessdata.fda.gov/drugsatfda_docs/nda/2018/210166Orig1s000TOC.cfm" TargetMode="External"/><Relationship Id="rId125" Type="http://schemas.openxmlformats.org/officeDocument/2006/relationships/hyperlink" Target="https://www.accessdata.fda.gov/drugsatfda_docs/label/2018/210806s000lbl.pdf%0a%20https:/www.accessdata.fda.gov/drugsatfda_docs/appletter/2018/210806Orig1s000ltr.pdf%0a%20https:/www.accessdata.fda.gov/drugsatfda_docs/nda/2018/210806Orig1s000,210807Orig1s000TOC.cfm" TargetMode="External"/><Relationship Id="rId146" Type="http://schemas.openxmlformats.org/officeDocument/2006/relationships/hyperlink" Target="https://www.accessdata.fda.gov/drugsatfda_docs/label/2018/761079s000lbl.pdf%0a%20https:/www.accessdata.fda.gov/drugsatfda_docs/appletter/2018/761079Orig1s000ltr.pdf%0a%20https:/www.accessdata.fda.gov/drugsatfda_docs/nda/2018/761079Orig1s000TOC.cfm" TargetMode="External"/><Relationship Id="rId167" Type="http://schemas.openxmlformats.org/officeDocument/2006/relationships/hyperlink" Target="https://www.accessdata.fda.gov/drugsatfda_docs/label/2017/761070s000lbl.pdf%0a%20https:/www.accessdata.fda.gov/drugsatfda_docs/appletter/2017/761070Orig1s000ltr.pdf%0a%20https:/www.accessdata.fda.gov/drugsatfda_docs/nda/2017/761070Orig1s000TOC.cfm" TargetMode="External"/><Relationship Id="rId188" Type="http://schemas.openxmlformats.org/officeDocument/2006/relationships/hyperlink" Target="https://www.accessdata.fda.gov/drugsatfda_docs/label/2017/761069s000lbl.pdf%0a%20https:/www.accessdata.fda.gov/drugsatfda_docs/appletter/2017/761069Orig1s000ltr.pdf%0a%20https:/www.accessdata.fda.gov/drugsatfda_docs/nda/2017/761069Orig1s000TOC.cfm" TargetMode="External"/><Relationship Id="rId71" Type="http://schemas.openxmlformats.org/officeDocument/2006/relationships/hyperlink" Target="https://www.accessdata.fda.gov/drugsatfda_docs/label/2019/200655s000lbl.pdf%0a%20https:/www.accessdata.fda.gov/drugsatfda_docs/appletter/2019/200655Orig1s000ltr.pdf%0a%20https:/www.accessdata.fda.gov/drugsatfda_docs/nda/2019/200655Orig1s000TOC.cfm" TargetMode="External"/><Relationship Id="rId92" Type="http://schemas.openxmlformats.org/officeDocument/2006/relationships/hyperlink" Target="https://www.accessdata.fda.gov/drugsatfda_docs/label/2019/761105s000lbl.pdf%0a%20https:/www.accessdata.fda.gov/drugsatfda_docs/appletter/2019/761105s000ltr.pdf%0a%20https:/www.accessdata.fda.gov/drugsatfda_docs/nda/2019/761105Orig1s000TOC.cfm" TargetMode="External"/><Relationship Id="rId213" Type="http://schemas.openxmlformats.org/officeDocument/2006/relationships/hyperlink" Target="https://www.accessdata.fda.gov/drugsatfda_docs/label/2016/208073s000lbl.pdf%0a%20https:/www.accessdata.fda.gov/drugsatfda_docs/appletter/2016/208073Orig1s000ltr.pdf%0a%20https:/www.accessdata.fda.gov/drugsatfda_docs/nda/2016/208073Orig1s000TOC.cfm" TargetMode="External"/><Relationship Id="rId234" Type="http://schemas.openxmlformats.org/officeDocument/2006/relationships/hyperlink" Target="https://www.accessdata.fda.gov/drugsatfda_docs/label/2015/125547s000lbl.pdf%0a%20https:/www.accessdata.fda.gov/drugsatfda_docs/appletter/2015/125547Orig1s000ltr.pdf%0a%20https:/www.accessdata.fda.gov/drugsatfda_docs/nda/2015/125547Orig1s000TOC.cfm%0a%20https:/www.accessdata.fda.gov/drugsatfda_docs/nda/2015/125547Orig1s000SumR.pdf" TargetMode="External"/><Relationship Id="rId2" Type="http://schemas.openxmlformats.org/officeDocument/2006/relationships/hyperlink" Target="https://www.accessdata.fda.gov/drugsatfda_docs/label/2020/761172s000lbl.pdf%0a%20https:/www.accessdata.fda.gov/drugsatfda_docs/appletter/2020/761172Orig1s000ltr.pdf%0a%20https:/www.accessdata.fda.gov/drugsatfda_docs/nda/2020/761172Orig1s000TOC.cfm" TargetMode="External"/><Relationship Id="rId29" Type="http://schemas.openxmlformats.org/officeDocument/2006/relationships/hyperlink" Target="https://www.accessdata.fda.gov/drugsatfda_docs/label/2020/213687s000lbl.pdf%0a%20https:/www.accessdata.fda.gov/drugsatfda_docs/appletter/2020/213687Orig1s000replacementltr.pdf%0a%20https:/www.accessdata.fda.gov/drugsatfda_docs/nda/2020/213687Orig1s000TOC.cfm" TargetMode="External"/><Relationship Id="rId255" Type="http://schemas.openxmlformats.org/officeDocument/2006/relationships/hyperlink" Target="https://www.accessdata.fda.gov/drugsatfda_docs/label/2015/125559Orig1s000lbledt.pdf%0a%20https:/www.accessdata.fda.gov/drugsatfda_docs/appletter/2015/125559Orig1s000ltr.pdf%0a%20https:/www.accessdata.fda.gov/drugsatfda_docs/nda/2015/125559Orig1s000TOC.cfm" TargetMode="External"/><Relationship Id="rId40" Type="http://schemas.openxmlformats.org/officeDocument/2006/relationships/hyperlink" Target="https://www.accessdata.fda.gov/drugsatfda_docs/label/2020/213736s000lbl.pdf%0a%20https:/www.accessdata.fda.gov/drugsatfda_docs/appletter/2020/213736Orig1s000ltr.pdf%0a%20https:/www.accessdata.fda.gov/drugsatfda_docs/nda/2020/213736Orig1s000TOC.cfm" TargetMode="External"/><Relationship Id="rId115" Type="http://schemas.openxmlformats.org/officeDocument/2006/relationships/hyperlink" Target="https://www.accessdata.fda.gov/drugsatfda_docs/label/2018/211172lbl.pdf%0a%20https:/www.accessdata.fda.gov/drugsatfda_docs/appletter/2018/211172Orig1s000Ltr.pdf%0a%20https:/www.accessdata.fda.gov/drugsatfda_docs/nda/2018/211172Orig1s000TOC.cfm" TargetMode="External"/><Relationship Id="rId136" Type="http://schemas.openxmlformats.org/officeDocument/2006/relationships/hyperlink" Target="https://www.accessdata.fda.gov/drugsatfda_docs/label/2018/210450s000lbl.pdf%0a%20https:/www.accessdata.fda.gov/drugsatfda_docs/appletter/2018/210450Orig1s000Ltr.pdf%0a%20https:/www.accessdata.fda.gov/drugsatfda_docs/nda/2018/210450Orig1s000TOC.cfm" TargetMode="External"/><Relationship Id="rId157" Type="http://schemas.openxmlformats.org/officeDocument/2006/relationships/hyperlink" Target="https://www.accessdata.fda.gov/drugsatfda_docs/label/2018/210491lbl.pdf%0a%20https:/www.accessdata.fda.gov/drugsatfda_docs/appletter/2018/210491Orig1s000ltr.pdf%0a%20https:/www.accessdata.fda.gov/drugsatfda_docs/nda/2018/210491Orig1s000TOC.cfm" TargetMode="External"/><Relationship Id="rId178" Type="http://schemas.openxmlformats.org/officeDocument/2006/relationships/hyperlink" Target="https://www.accessdata.fda.gov/drugsatfda_docs/label/2017/209394s000lbl.pdf%0a%20https:/www.accessdata.fda.gov/drugsatfda_docs/appletter/2017/209394Orig1s000ltr.pdf%0a%20https:/www.accessdata.fda.gov/drugsatfda_docs/nda/2017/209394_toc.cfm%0a%20https:/www.accessdata.fda.gov/drugsatfda_docs/nda/2017/209394Orig1s000SumR.pdf" TargetMode="External"/><Relationship Id="rId61" Type="http://schemas.openxmlformats.org/officeDocument/2006/relationships/hyperlink" Target="https://www.accessdata.fda.gov/drugsatfda_docs/label/2019/213137s000lbl.pdf%0a%20https:/www.accessdata.fda.gov/drugsatfda_docs/appletter/2019/213137Orig1s000ltr.pdf%0a%20https:/www.accessdata.fda.gov/drugsatfda_docs/nda/2019/213137Orig1s000TOC.cfm" TargetMode="External"/><Relationship Id="rId82" Type="http://schemas.openxmlformats.org/officeDocument/2006/relationships/hyperlink" Target="https://www.accessdata.fda.gov/drugsatfda_docs/label/2019/212862s000lbl.pdf%0a%20https:/www.accessdata.fda.gov/drugsatfda_docs/appletter/2019/212862Orig1s000ltr.pdf%0a%20https:/www.accessdata.fda.gov/drugsatfda_docs/nda/2019/212862Orig1s000TOC.cfm" TargetMode="External"/><Relationship Id="rId199" Type="http://schemas.openxmlformats.org/officeDocument/2006/relationships/hyperlink" Target="https://www.accessdata.fda.gov/drugsatfda_docs/label/2017/207145lbl.pdf%0a%20https:/www.accessdata.fda.gov/drugsatfda_docs/appletter/2017/207145Orig1s000ltr.pdf%0a%20https:/www.accessdata.fda.gov/drugsatfda_docs/nda/2017/207145Orig1s000TOC.cfm" TargetMode="External"/><Relationship Id="rId203" Type="http://schemas.openxmlformats.org/officeDocument/2006/relationships/hyperlink" Target="https://www.accessdata.fda.gov/drugsatfda_docs/label/2017/208684s000,208685s000lbl.pdf%0a%20https:/www.accessdata.fda.gov/drugsatfda_docs/appletter/2017/208684Orig1s000,208685Orig1s000ltr.pdf%0a%20https:/www.accessdata.fda.gov/drugsatfda_docs/nda/2017/208684,208685Orig1s000TOC.cfm" TargetMode="External"/><Relationship Id="rId19" Type="http://schemas.openxmlformats.org/officeDocument/2006/relationships/hyperlink" Target="https://www.accessdata.fda.gov/drugsatfda_docs/label/2020/212154Orig1s000lbl.pdf%0a%20https:/www.accessdata.fda.gov/drugsatfda_docs/appletter/2020/212154Orig1s000ltr.pdf%0a%20https:/www.accessdata.fda.gov/drugsatfda_docs/nda/2020/212154Orig1s000TOC.cfm" TargetMode="External"/><Relationship Id="rId224" Type="http://schemas.openxmlformats.org/officeDocument/2006/relationships/hyperlink" Target="https://www.accessdata.fda.gov/drugsatfda_docs/label/2016/125521s000lbl.pdf%0a%20https:/www.accessdata.fda.gov/drugsatfda_docs/appletter/2016/125521Orig1s000ltr.pdf%0a%20https:/www.accessdata.fda.gov/drugsatfda_docs/nda/2016/125521Orig1s000TOC.cfm%0a%20https:/www.accessdata.fda.gov/drugsatfda_docs/nda/2016/125521Orig1s000SumR.pdf" TargetMode="External"/><Relationship Id="rId245" Type="http://schemas.openxmlformats.org/officeDocument/2006/relationships/hyperlink" Target="https://www.accessdata.fda.gov/drugsatfda_docs/label/2015/207533s000lbl.pdf%0a%20https:/www.accessdata.fda.gov/drugsatfda_docs/appletter/2015/207533Orig1s000ltr.pdf%0a%20https:/www.accessdata.fda.gov/drugsatfda_docs/nda/2015/207533Orig1s000TOC.cfm%0a%20https:/www.accessdata.fda.gov/drugsatfda_docs/nda/2015/207533Orig1s000SumR.pdf" TargetMode="External"/><Relationship Id="rId266" Type="http://schemas.openxmlformats.org/officeDocument/2006/relationships/hyperlink" Target="https://www.accessdata.fda.gov/drugsatfda_docs/label/2015/206494s000lbl.pdf%0a%20https:/www.accessdata.fda.gov/drugsatfda_docs/appletter/2015/206494Orig1s000ltr.pdf%0a%20https:/www.accessdata.fda.gov/drugsatfda_docs/nda/2015/206494Orig1s000TOC.cfm%0a%20https:/www.accessdata.fda.gov/drugsatfda_docs/nda/2015/206494Orig1s000SumR.pdf" TargetMode="External"/><Relationship Id="rId30" Type="http://schemas.openxmlformats.org/officeDocument/2006/relationships/hyperlink" Target="https://www.accessdata.fda.gov/drugsatfda_docs/label/2020/213702s000lbl.pdf%0a%20https:/www.accessdata.fda.gov/drugsatfda_docs/appletter/2020/213702Orig1s000ltr.pdf%0a%20https:/www.accessdata.fda.gov/drugsatfda_docs/nda/2020/213702Orig1s000TOC.cfm" TargetMode="External"/><Relationship Id="rId105" Type="http://schemas.openxmlformats.org/officeDocument/2006/relationships/hyperlink" Target="https://www.accessdata.fda.gov/drugsatfda_docs/label/2018/211349s000lbl.pdf%0a%20https:/www.accessdata.fda.gov/drugsatfda_docs/appletter/2018/211349Orig1s000replacementltr.pdf%0a%20https:/www.accessdata.fda.gov/drugsatfda_docs/nda/2018/211349Orig1_toc.cfm" TargetMode="External"/><Relationship Id="rId126" Type="http://schemas.openxmlformats.org/officeDocument/2006/relationships/hyperlink" Target="https://www.accessdata.fda.gov/drugsatfda_docs/label/2018/211109lbl.pdf%0a%20https:/www.accessdata.fda.gov/drugsatfda_docs/appletter/2018/211109Orig1s000ltr.pdf%0a%20https:/www.accessdata.fda.gov/drugsatfda_docs/nda/2018/211109Orig1s000TOC.cfm" TargetMode="External"/><Relationship Id="rId147" Type="http://schemas.openxmlformats.org/officeDocument/2006/relationships/hyperlink" Target="https://www.accessdata.fda.gov/drugsatfda_docs/label/2018/210238s000lbl.pdf%0a%20https:/www.accessdata.fda.gov/drugsatfda_docs/appletter/2018/210238Orig1s000ltr.pdf%0a%20https:/www.accessdata.fda.gov/drugsatfda_docs/nda/2018/210238Orig1s000TOC.cfm" TargetMode="External"/><Relationship Id="rId168" Type="http://schemas.openxmlformats.org/officeDocument/2006/relationships/hyperlink" Target="https://www.accessdata.fda.gov/drugsatfda_docs/label/2017/209939Orig1s000,209940Orig1s000lbl.pdf%0a%20https:/www.accessdata.fda.gov/drugsatfda_docs/appletter/2017/209939Orig1s000,209940Orig1s000ltr.pdf%0a%20https:/www.accessdata.fda.gov/drugsatfda_docs/nda/2017/209939Orig1s000,209940Orig1s000TOC.cfm" TargetMode="External"/><Relationship Id="rId51" Type="http://schemas.openxmlformats.org/officeDocument/2006/relationships/hyperlink" Target="https://www.accessdata.fda.gov/drugsatfda_docs/label/2020/211723s000lbl.pdf%0a%20https:/www.accessdata.fda.gov/drugsatfda_docs/appletter/2020/211723Orig1s000ltr.pdf%0a%20https:/www.accessdata.fda.gov/drugsatfda_docs/nda/2020/211723Orig1s000TOC.cfm" TargetMode="External"/><Relationship Id="rId72" Type="http://schemas.openxmlformats.org/officeDocument/2006/relationships/hyperlink" Target="https://www.accessdata.fda.gov/drugsatfda_docs/label/2019/210797s000lbl.pdf%0a%20https:/www.accessdata.fda.gov/drugsatfda_docs/appletter/2019/210797Orig1s000ltr.pdf%0a%20https:/www.accessdata.fda.gov/drugsatfda_docs/nda/2019/210797Orig1s000TOC.cfm" TargetMode="External"/><Relationship Id="rId93" Type="http://schemas.openxmlformats.org/officeDocument/2006/relationships/hyperlink" Target="https://www.accessdata.fda.gov/drugsatfda_docs/label/2019/212018s000lbl.pdf%0a%20https:/www.accessdata.fda.gov/drugsatfda_docs/appletter/2019/212018Orig1s000ltr.pdf%0a%20https:/www.accessdata.fda.gov/drugsatfda_docs/nda/2019/212018Orig1s000TOC.cfm" TargetMode="External"/><Relationship Id="rId189" Type="http://schemas.openxmlformats.org/officeDocument/2006/relationships/hyperlink" Target="https://www.accessdata.fda.gov/drugsatfda_docs/label/2017/208743lbl.pdf%0a%20https:/www.accessdata.fda.gov/drugsatfda_docs/appletter/2017/208743Orig1s000ltr.pdf%0a%20https:/www.accessdata.fda.gov/drugsatfda_docs/nda/2017/208743Orig1s000TOC.cfm%0a%20https:/www.accessdata.fda.gov/drugsatfda_docs/nda/2017/208743Orig1s000SumR.pdf" TargetMode="External"/><Relationship Id="rId3" Type="http://schemas.openxmlformats.org/officeDocument/2006/relationships/hyperlink" Target="https://www.accessdata.fda.gov/drugsatfda_docs/label/2020/214621s000lbl.pdf%0a%20https:/www.accessdata.fda.gov/drugsatfda_docs/appletter/2020/214621Orig1s000ltr.pdf%0a%20https:/www.accessdata.fda.gov/drugsatfda_docs/nda/2020/214621Orig1s000TOC.cfm" TargetMode="External"/><Relationship Id="rId214" Type="http://schemas.openxmlformats.org/officeDocument/2006/relationships/hyperlink" Target="https://www.accessdata.fda.gov/drugsatfda_docs/label/2016/208341s000lbl.pdf%0a%20https:/www.accessdata.fda.gov/drugsatfda_docs/appletter/2016/208341Orig1s000ltr.pdf%0a%20https:/www.accessdata.fda.gov/drugsatfda_docs/nda/2016/208341Orig1s000TOC.cfm" TargetMode="External"/><Relationship Id="rId235" Type="http://schemas.openxmlformats.org/officeDocument/2006/relationships/hyperlink" Target="https://www.accessdata.fda.gov/drugsatfda_docs/label/2015/208462lbl.pdf%0a%20https:/www.accessdata.fda.gov/drugsatfda_docs/appletter/2015/208462Orig1s000ltr.pdf%0a%20https:/www.accessdata.fda.gov/drugsatfda_docs/nda/2015/208462Orig1s000TOC.cfm%0a%20https:/www.accessdata.fda.gov/drugsatfda_docs/nda/2015/208462Orig1s000SumR.pdf" TargetMode="External"/><Relationship Id="rId256" Type="http://schemas.openxmlformats.org/officeDocument/2006/relationships/hyperlink" Target="https://www.accessdata.fda.gov/drugsatfda_docs/label/2015/205422Orig1Orig2s000lbl.pdf%0a%20https:/www.accessdata.fda.gov/drugsatfda_docs/appletter/2015/205422Orig1Orig2s000ltr.pdf%0a%20https:/www.accessdata.fda.gov/drugsatfda_docs/nda/2015/205422s000TOC.cfm" TargetMode="External"/><Relationship Id="rId116" Type="http://schemas.openxmlformats.org/officeDocument/2006/relationships/hyperlink" Target="https://www.accessdata.fda.gov/drugsatfda_docs/label/2018/761092s000lbl.pdf%0a%20https:/www.accessdata.fda.gov/drugsatfda_docs/appletter/2018/761092Orig1s000ltr.pdf%0a%20https:/www.accessdata.fda.gov/drugsatfda_docs/nda/2018/761092Orig1s000TOC.cfm" TargetMode="External"/><Relationship Id="rId137" Type="http://schemas.openxmlformats.org/officeDocument/2006/relationships/hyperlink" Target="https://www.accessdata.fda.gov/drugsatfda_docs/label/2018/210795s000lbl.pdf%0a%20https:/www.accessdata.fda.gov/drugsatfda_docs/appletter/2018/210795Orig1s000Ltr.pdf%0a%20https:/www.accessdata.fda.gov/drugsatfda_docs/nda/2018/210795Orig1s000TOC.cfm" TargetMode="External"/><Relationship Id="rId158" Type="http://schemas.openxmlformats.org/officeDocument/2006/relationships/hyperlink" Target="https://www.accessdata.fda.gov/drugsatfda_docs/label/2018/210251s000lbl.pdf%0a%20https:/www.accessdata.fda.gov/drugsatfda_docs/appletter/2018/210251Orig1s000Ltr.pdf%0a%20https:/www.accessdata.fda.gov/drugsatfda_docs/nda/2018/210251Orig1s000TOC.cfm" TargetMode="External"/><Relationship Id="rId20" Type="http://schemas.openxmlformats.org/officeDocument/2006/relationships/hyperlink" Target="https://www.accessdata.fda.gov/drugsatfda_docs/label/2020/210730s000lbl.pdf%0a%20https:/www.accessdata.fda.gov/drugsatfda_docs/appletter/2020/210730Orig1s000ltr.pdf%0a%20https:/www.accessdata.fda.gov/drugsatfda_docs/nda/2020/210730Orig1s000TOC.cfm" TargetMode="External"/><Relationship Id="rId41" Type="http://schemas.openxmlformats.org/officeDocument/2006/relationships/hyperlink" Target="https://www.accessdata.fda.gov/drugsatfda_docs/label/2020/213411s000lbl.pdf%0a%20https:/www.accessdata.fda.gov/drugsatfda_docs/appletter/2020/213411Orig1s000ltr.pdf%0a%20https:/www.accessdata.fda.gov/drugsatfda_docs/nda/2020/213411Orig1s000TOC.cfm" TargetMode="External"/><Relationship Id="rId62" Type="http://schemas.openxmlformats.org/officeDocument/2006/relationships/hyperlink" Target="https://www.accessdata.fda.gov/drugsatfda_docs/label/2019/212839s000lbl.pdf%0a%20https:/www.accessdata.fda.gov/drugsatfda_docs/appletter/2019/212839Orig1s000ltr.pdf%0a%20https:/www.accessdata.fda.gov/drugsatfda_docs/nda/2019/212839Orig1s000TOC.cfm" TargetMode="External"/><Relationship Id="rId83" Type="http://schemas.openxmlformats.org/officeDocument/2006/relationships/hyperlink" Target="https://www.accessdata.fda.gov/drugsatfda_docs/label/2019/211810s000lbl.pdf%0a%20https:/www.accessdata.fda.gov/drugsatfda_docs/appletter/2019/211810Orig1s000ltr.pdf%0a%20https:/www.accessdata.fda.gov/drugsatfda_docs/nda/2019/211810Orig1s000TOC.cfm" TargetMode="External"/><Relationship Id="rId179" Type="http://schemas.openxmlformats.org/officeDocument/2006/relationships/hyperlink" Target="https://www.accessdata.fda.gov/drugsatfda_docs/label/2017/209606s000lbl.pdf%0a%20https:/www.accessdata.fda.gov/drugsatfda_docs/appletter/2017/209606Orig1s000.pdf%0a%20https:/www.accessdata.fda.gov/drugsatfda_docs/nda/2017/209606Orig1s000TOC.cfm" TargetMode="External"/><Relationship Id="rId190" Type="http://schemas.openxmlformats.org/officeDocument/2006/relationships/hyperlink" Target="https://www.accessdata.fda.gov/drugsatfda_docs/label/2017/207997Orig1Orig2s000lbl.pdf%0a%20https:/www.accessdata.fda.gov/drugsatfda_docs/appletter/2017/207997Orig1s000ltr.pdf%0a%20https:/www.accessdata.fda.gov/drugsatfda_docs/nda/2017/207997Orig1Orig2s000TOC.cfm" TargetMode="External"/><Relationship Id="rId204" Type="http://schemas.openxmlformats.org/officeDocument/2006/relationships/hyperlink" Target="https://www.accessdata.fda.gov/drugsatfda_docs/label/2017/208325Orig1s000Lbledt.pdf%0a%20https:/www.accessdata.fda.gov/drugsatfda_docs/appletter/2017/208325Orig1s000ltr.pdf%0a%20https:/www.accessdata.fda.gov/drugsatfda_docs/nda/2017/208325Orig1s000TOC.cfm" TargetMode="External"/><Relationship Id="rId225" Type="http://schemas.openxmlformats.org/officeDocument/2006/relationships/hyperlink" Target="https://www.accessdata.fda.gov/drugsatfda_docs/label/2016/125509lbl.pdf%0a%20https:/www.accessdata.fda.gov/drugsatfda_docs/appletter/2016/125509Orig1s000ltr.pdf%0a%20https:/www.accessdata.fda.gov/drugsatfda_docs/nda/2016/125509Orig1s000TOC.cfm%0a%20https:/www.accessdata.fda.gov/drugsatfda_docs/nda/2016/125509Orig1s000SumR.pdf" TargetMode="External"/><Relationship Id="rId246" Type="http://schemas.openxmlformats.org/officeDocument/2006/relationships/hyperlink" Target="https://www.accessdata.fda.gov/drugsatfda_docs/label/2015/203314lbl.pdf%0a%20https:/www.accessdata.fda.gov/drugsatfda_docs/appletter/2015/203314Orig1s000ltr.pdf%0a%20https:/www.accessdata.fda.gov/drugsatfda_docs/nda/2015/203313and203314Orig1s000TOC.cfm" TargetMode="External"/><Relationship Id="rId267" Type="http://schemas.openxmlformats.org/officeDocument/2006/relationships/hyperlink" Target="https://www.accessdata.fda.gov/drugsatfda_docs/label/2015/205353s000lbl.pdf%0a%20https:/www.accessdata.fda.gov/drugsatfda_docs/appletter/2015/205353Orig1s000ltr.pdf%0a%20https:/www.accessdata.fda.gov/drugsatfda_docs/nda/2015/205353Orig1s000TOC.cfm%0a%20https:/www.accessdata.fda.gov/drugsatfda_docs/nda/2015/205353Orig1s000SumR.pdf" TargetMode="External"/><Relationship Id="rId106" Type="http://schemas.openxmlformats.org/officeDocument/2006/relationships/hyperlink" Target="https://www.accessdata.fda.gov/drugsatfda_docs/label/2018/208078s000lbl.pdf%0a%20https:/www.accessdata.fda.gov/drugsatfda_docs/appletter/2018/208078Orig1s000ltr.pdf%0a%20https:/www.accessdata.fda.gov/drugsatfda_docs/nda/2018/208078Orig1_toc.cfm" TargetMode="External"/><Relationship Id="rId127" Type="http://schemas.openxmlformats.org/officeDocument/2006/relationships/hyperlink" Target="https://www.accessdata.fda.gov/drugsatfda_docs/label/2018/761090s000lbl.pdf%0a%20https:/www.accessdata.fda.gov/drugsatfda_docs/appletter/2018/761090Orig1s000ltr.pdf%0a%20https:/www.accessdata.fda.gov/drugsatfda_docs/nda/2018/761090Orig1s000TOC.cfm" TargetMode="External"/><Relationship Id="rId10" Type="http://schemas.openxmlformats.org/officeDocument/2006/relationships/hyperlink" Target="https://www.accessdata.fda.gov/drugsatfda_docs/label/2020/214103lbl.pdf%0a%20https:/www.accessdata.fda.gov/drugsatfda_docs/appletter/2020/214103Orig1s000ltr.pdf%0a%20https:/www.accessdata.fda.gov/drugsatfda_docs/nda/2020/214103Orig1s000TOC.cfm" TargetMode="External"/><Relationship Id="rId31" Type="http://schemas.openxmlformats.org/officeDocument/2006/relationships/hyperlink" Target="https://www.accessdata.fda.gov/drugsatfda_docs/label/2020/761142s000lbl.pdf%0a%20https:/www.accessdata.fda.gov/drugsatfda_docs/appletter/2020/761142Orig1s000ltr.pdf%0a%20https:/www.accessdata.fda.gov/drugsatfda_docs/nda/2020/761142Orig1s000TOC.cfm" TargetMode="External"/><Relationship Id="rId52" Type="http://schemas.openxmlformats.org/officeDocument/2006/relationships/hyperlink" Target="https://www.accessdata.fda.gov/drugsatfda_docs/label/2020/761143s000lbl.pdf%0a%20https:/www.accessdata.fda.gov/drugsatfda_docs/appletter/2020/761143Orig1s000ltr.pdf%0a%20https:/www.accessdata.fda.gov/drugsatfda_docs/nda/2020/761143Orig1s000TOC.cfm" TargetMode="External"/><Relationship Id="rId73" Type="http://schemas.openxmlformats.org/officeDocument/2006/relationships/hyperlink" Target="https://www.accessdata.fda.gov/drugsatfda_docs/label/2019/761125s000lbl.pdf%20%20%0a%20https:/www.accessdata.fda.gov/drugsatfda_docs/appletter/2019/761125Orig1s000ltr.pdf%0a%20https:/www.accessdata.fda.gov/drugsatfda_docs/nda/2019/761125_Orig1_toc.cfm" TargetMode="External"/><Relationship Id="rId94" Type="http://schemas.openxmlformats.org/officeDocument/2006/relationships/hyperlink" Target="https://www.accessdata.fda.gov/drugsatfda_docs/label/2019/761062s000lbl.pdf%0a%20https:/www.accessdata.fda.gov/drugsatfda_docs/appletter/2019/761062Orig1s000ltr.pdf%0a%20https:/www.accessdata.fda.gov/drugsatfda_docs/nda/2019/761062Orig1s000TOC.cfm" TargetMode="External"/><Relationship Id="rId148" Type="http://schemas.openxmlformats.org/officeDocument/2006/relationships/hyperlink" Target="https://www.accessdata.fda.gov/drugsatfda_docs/label/2018/207078s000lbl.pdf%0a%20https:/www.accessdata.fda.gov/drugsatfda_docs/appletter/2018/207078Orig1s000ltr.pdf%0a%20https:/www.accessdata.fda.gov/drugsatfda_docs/nda/2018/207078Orig1s000TOC.cfm" TargetMode="External"/><Relationship Id="rId169" Type="http://schemas.openxmlformats.org/officeDocument/2006/relationships/hyperlink" Target="https://www.accessdata.fda.gov/drugsatfda_docs/label/2017/207795Orig1s000lbl.pdf%0a%20https:/www.accessdata.fda.gov/drugsatfda_docs/appletter/2017/207795Orig1s000ltr.pdf%0a%20https:/www.accessdata.fda.gov/drugsatfda_docs/nda/2017/207795Orig1s000TOC.cfm" TargetMode="External"/><Relationship Id="rId4" Type="http://schemas.openxmlformats.org/officeDocument/2006/relationships/hyperlink" Target="https://www.accessdata.fda.gov/drugsatfda_docs/label/2020/761150s000lbl.pdf%0a%20https:/www.accessdata.fda.gov/drugsatfda_docs/appletter/2020/761150Orig1s000ltr.pdf%0a%20https:/www.accessdata.fda.gov/drugsatfda_docs/nda/2020/761150Orig1s000TOC.cfm" TargetMode="External"/><Relationship Id="rId180" Type="http://schemas.openxmlformats.org/officeDocument/2006/relationships/hyperlink" Target="https://www.accessdata.fda.gov/drugsatfda_docs/label/2017/209195s000lbl.pdf%0a%20https:/www.accessdata.fda.gov/drugsatfda_docs/appletter/2017/209195Orig1s000ltr.pdf%0a%20https:/www.accessdata.fda.gov/drugsatfda_docs/nda/2017/209195_toc.cfm" TargetMode="External"/><Relationship Id="rId215" Type="http://schemas.openxmlformats.org/officeDocument/2006/relationships/hyperlink" Target="https://www.accessdata.fda.gov/drugsatfda_docs/label/2016/208547s000lbl.pdf%0a%20https:/www.accessdata.fda.gov/drugsatfda_docs/appletter/2016/208547Orig1s000ltr.pdf%0a%20https:/www.accessdata.fda.gov/drugsatfda_docs/nda/2016/208547Orig1s000TOC.cfm%0a%20https:/www.accessdata.fda.gov/drugsatfda_docs/nda/2016/208547Orig1s000SumR.pdf" TargetMode="External"/><Relationship Id="rId236" Type="http://schemas.openxmlformats.org/officeDocument/2006/relationships/hyperlink" Target="https://www.accessdata.fda.gov/drugsatfda_docs/label/2015/761036Orig1s000lbledt.pdf%0a%20https:/www.accessdata.fda.gov/drugsatfda_docs/appletter/2015/761036Orig1s000ltr.pdf%0a%20https:/www.accessdata.fda.gov/drugsatfda_docs/nda/2015/761036Orig1s000TOC.cfm%0a%20https:/www.accessdata.fda.gov/drugsatfda_docs/nda/2015/761036Orig1s000SumR.pdf" TargetMode="External"/><Relationship Id="rId257" Type="http://schemas.openxmlformats.org/officeDocument/2006/relationships/hyperlink" Target="https://www.accessdata.fda.gov/drugsatfda_docs/label/2015/207620Orig1s000lbl.pdf%0a%20https:/www.accessdata.fda.gov/drugsatfda_docs/appletter/2015/207620Orig1s000ltr.pdf%0a%20https:/www.accessdata.fda.gov/drugsatfda_docs/nda/2015/207620Orig1s000TOC.cfm%0a%20https:/www.accessdata.fda.gov/drugsatfda_docs/nda/2015/207620Orig1s000SumR.pdf" TargetMode="External"/><Relationship Id="rId42" Type="http://schemas.openxmlformats.org/officeDocument/2006/relationships/hyperlink" Target="https://www.accessdata.fda.gov/drugsatfda_docs/label/2020/213756s000lbl.pdf%0a%20https:/www.accessdata.fda.gov/drugsatfda_docs/appletter/2020/213756Orig1s000ltr.pdf%0a%20https:/www.accessdata.fda.gov/drugsatfda_docs/nda/2020/213756Orig1s000TOC.cfm" TargetMode="External"/><Relationship Id="rId84" Type="http://schemas.openxmlformats.org/officeDocument/2006/relationships/hyperlink" Target="https://www.accessdata.fda.gov/drugsatfda_docs/label/2019/212099Orig1s000lbl.pdf%0a%20https:/www.accessdata.fda.gov/drugsatfda_docs/appletter/2019/212099Orig1s000ltr.pdf%0a%20https:/www.accessdata.fda.gov/drugsatfda_docs/nda/2019/212099Orig1s000TOC.cfm" TargetMode="External"/><Relationship Id="rId138" Type="http://schemas.openxmlformats.org/officeDocument/2006/relationships/hyperlink" Target="https://www.accessdata.fda.gov/drugsatfda_docs/label/2018/211192s000lbl.pdf%0a%20https:/www.accessdata.fda.gov/drugsatfda_docs/appletter/2018/211192Orig1s000ltr.pdf%0a%20https:/www.accessdata.fda.gov/drugsatfda_docs/nda/2018/211192Orig1s000TOC.cfm" TargetMode="External"/><Relationship Id="rId191" Type="http://schemas.openxmlformats.org/officeDocument/2006/relationships/hyperlink" Target="https://www.accessdata.fda.gov/drugsatfda_docs/label/2017/208772lbl.pdf%0a%20https:/www.accessdata.fda.gov/drugsatfda_docs/appletter/2017/208772Orig1s000ltr.pdf%0a%20https:/www.accessdata.fda.gov/drugsatfda_docs/nda/2017/208772Orig1s000TOC.cfm" TargetMode="External"/><Relationship Id="rId205" Type="http://schemas.openxmlformats.org/officeDocument/2006/relationships/hyperlink" Target="https://www.accessdata.fda.gov/drugsatfda_docs/label/2017/208745lbl.pdf%0a%20https:/www.accessdata.fda.gov/drugsatfda_docs/appletter/2017/208745Orig1s000ltr.pdf%0a%20https:/www.accessdata.fda.gov/drugsatfda_docs/nda/2017/208745Orig1s000TOC.cfm" TargetMode="External"/><Relationship Id="rId247" Type="http://schemas.openxmlformats.org/officeDocument/2006/relationships/hyperlink" Target="https://www.accessdata.fda.gov/drugsatfda_docs/label/2015/207981s000lbl.pdf%0a%20https:/www.accessdata.fda.gov/drugsatfda_docs/appletter/2015/207981Orig1s000ltr.pdf%0a%20https:/www.accessdata.fda.gov/drugsatfda_docs/nda/2015/207981Orig1s000TOC.cfm%0a%20https:/www.accessdata.fda.gov/drugsatfda_docs/nda/2015/207981Orig1s000SumR.pdf" TargetMode="External"/><Relationship Id="rId107" Type="http://schemas.openxmlformats.org/officeDocument/2006/relationships/hyperlink" Target="https://www.accessdata.fda.gov/drugsatfda_docs/label/2018/210861s000lbl.pdf%0a%20https:/www.accessdata.fda.gov/drugsatfda_docs/appletter/2018/210861Orig1s000ltr.pdf%0a%20https:/www.accessdata.fda.gov/drugsatfda_docs/nda/2018/210861Orig1s000_21171Orig1s000TOC.cf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H2000"/>
  <sheetViews>
    <sheetView tabSelected="1" workbookViewId="0">
      <selection activeCell="G7" sqref="G7"/>
    </sheetView>
  </sheetViews>
  <sheetFormatPr baseColWidth="10" defaultColWidth="8.88671875" defaultRowHeight="14.4" x14ac:dyDescent="0.3"/>
  <sheetData>
    <row r="1" spans="1:216" x14ac:dyDescent="0.3">
      <c r="A1" s="6" t="s">
        <v>0</v>
      </c>
      <c r="B1" s="6"/>
      <c r="C1" s="6"/>
      <c r="D1" s="6"/>
      <c r="E1" s="7" t="s">
        <v>1</v>
      </c>
      <c r="F1" s="7"/>
      <c r="G1" s="7"/>
      <c r="H1" s="7"/>
      <c r="I1" s="7"/>
      <c r="J1" s="7"/>
      <c r="K1" s="7"/>
      <c r="L1" s="7"/>
      <c r="M1" s="7"/>
      <c r="N1" s="8" t="s">
        <v>2</v>
      </c>
      <c r="O1" s="8"/>
      <c r="P1" s="8"/>
      <c r="Q1" s="8"/>
      <c r="R1" s="8"/>
      <c r="S1" s="8"/>
      <c r="T1" s="8"/>
      <c r="U1" s="8"/>
      <c r="V1" s="8"/>
      <c r="W1" s="5" t="s">
        <v>3</v>
      </c>
      <c r="X1" s="5"/>
      <c r="Y1" s="5"/>
      <c r="Z1" s="5"/>
      <c r="AA1" s="5"/>
      <c r="AB1" s="5"/>
      <c r="AC1" s="5"/>
      <c r="AD1" s="5"/>
      <c r="AE1" s="5"/>
      <c r="AF1" s="5"/>
      <c r="AG1" s="5"/>
      <c r="AH1" s="5"/>
      <c r="AI1" s="5"/>
      <c r="AJ1" s="5"/>
      <c r="AK1" s="5"/>
      <c r="AL1" s="5"/>
      <c r="AM1" s="5"/>
      <c r="AN1" s="4" t="s">
        <v>4</v>
      </c>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5" t="s">
        <v>5</v>
      </c>
      <c r="CJ1" s="5"/>
      <c r="CK1" s="5"/>
      <c r="CL1" s="5"/>
      <c r="CM1" s="5"/>
      <c r="CN1" s="5"/>
      <c r="CO1" s="5"/>
      <c r="CP1" s="5"/>
      <c r="CQ1" s="5"/>
      <c r="CR1" s="5"/>
      <c r="CS1" s="5"/>
      <c r="CT1" s="5"/>
      <c r="CU1" s="5"/>
      <c r="CV1" s="5"/>
      <c r="CW1" s="5"/>
      <c r="CX1" s="5"/>
      <c r="CY1" s="5"/>
      <c r="CZ1" s="4" t="s">
        <v>6</v>
      </c>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5" t="s">
        <v>7</v>
      </c>
      <c r="EV1" s="5"/>
      <c r="EW1" s="5"/>
      <c r="EX1" s="5"/>
      <c r="EY1" s="5"/>
      <c r="EZ1" s="5"/>
      <c r="FA1" s="5"/>
      <c r="FB1" s="5"/>
      <c r="FC1" s="5"/>
      <c r="FD1" s="5"/>
      <c r="FE1" s="5"/>
      <c r="FF1" s="5"/>
      <c r="FG1" s="5"/>
      <c r="FH1" s="5"/>
      <c r="FI1" s="5"/>
      <c r="FJ1" s="5"/>
      <c r="FK1" s="5"/>
      <c r="FL1" s="4" t="s">
        <v>8</v>
      </c>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1"/>
      <c r="HH1" s="1"/>
    </row>
    <row r="2" spans="1:216" x14ac:dyDescent="0.3">
      <c r="A2" s="2" t="s">
        <v>9</v>
      </c>
      <c r="B2" s="2" t="s">
        <v>10</v>
      </c>
      <c r="C2" s="2" t="s">
        <v>11</v>
      </c>
      <c r="D2" s="2" t="s">
        <v>12</v>
      </c>
      <c r="E2" s="2" t="s">
        <v>13</v>
      </c>
      <c r="F2" s="2" t="s">
        <v>14</v>
      </c>
      <c r="G2" s="2" t="s">
        <v>15</v>
      </c>
      <c r="H2" s="2" t="s">
        <v>16</v>
      </c>
      <c r="I2" s="2" t="s">
        <v>17</v>
      </c>
      <c r="J2" s="2" t="s">
        <v>18</v>
      </c>
      <c r="K2" s="2" t="s">
        <v>19</v>
      </c>
      <c r="L2" s="2" t="s">
        <v>20</v>
      </c>
      <c r="M2" s="2" t="s">
        <v>21</v>
      </c>
      <c r="N2" s="2" t="s">
        <v>22</v>
      </c>
      <c r="O2" s="2" t="s">
        <v>15</v>
      </c>
      <c r="P2" s="2" t="s">
        <v>23</v>
      </c>
      <c r="Q2" s="2" t="s">
        <v>24</v>
      </c>
      <c r="R2" s="2" t="s">
        <v>25</v>
      </c>
      <c r="S2" s="2" t="s">
        <v>26</v>
      </c>
      <c r="T2" s="2" t="s">
        <v>27</v>
      </c>
      <c r="U2" s="2" t="s">
        <v>28</v>
      </c>
      <c r="V2" s="2" t="s">
        <v>16</v>
      </c>
      <c r="W2" s="2" t="s">
        <v>29</v>
      </c>
      <c r="X2" s="2" t="s">
        <v>30</v>
      </c>
      <c r="Y2" s="2" t="s">
        <v>31</v>
      </c>
      <c r="Z2" s="2" t="s">
        <v>32</v>
      </c>
      <c r="AA2" s="2" t="s">
        <v>33</v>
      </c>
      <c r="AB2" s="2" t="s">
        <v>34</v>
      </c>
      <c r="AC2" s="2" t="s">
        <v>35</v>
      </c>
      <c r="AD2" s="2" t="s">
        <v>36</v>
      </c>
      <c r="AE2" s="2" t="s">
        <v>37</v>
      </c>
      <c r="AF2" s="2" t="s">
        <v>28</v>
      </c>
      <c r="AG2" s="2" t="s">
        <v>38</v>
      </c>
      <c r="AH2" s="2" t="s">
        <v>39</v>
      </c>
      <c r="AI2" s="2" t="s">
        <v>40</v>
      </c>
      <c r="AJ2" s="2" t="s">
        <v>41</v>
      </c>
      <c r="AK2" s="2" t="s">
        <v>26</v>
      </c>
      <c r="AL2" s="2" t="s">
        <v>16</v>
      </c>
      <c r="AM2" s="2" t="s">
        <v>42</v>
      </c>
      <c r="AN2" s="2" t="s">
        <v>29</v>
      </c>
      <c r="AO2" s="2" t="s">
        <v>43</v>
      </c>
      <c r="AP2" s="2" t="s">
        <v>44</v>
      </c>
      <c r="AQ2" s="2" t="s">
        <v>45</v>
      </c>
      <c r="AR2" s="2" t="s">
        <v>40</v>
      </c>
      <c r="AS2" s="2" t="s">
        <v>46</v>
      </c>
      <c r="AT2" s="2" t="s">
        <v>47</v>
      </c>
      <c r="AU2" s="2" t="s">
        <v>48</v>
      </c>
      <c r="AV2" s="2" t="s">
        <v>30</v>
      </c>
      <c r="AW2" s="2" t="s">
        <v>49</v>
      </c>
      <c r="AX2" s="2" t="s">
        <v>50</v>
      </c>
      <c r="AY2" s="2" t="s">
        <v>51</v>
      </c>
      <c r="AZ2" s="2" t="s">
        <v>31</v>
      </c>
      <c r="BA2" s="2" t="s">
        <v>52</v>
      </c>
      <c r="BB2" s="2" t="s">
        <v>53</v>
      </c>
      <c r="BC2" s="2" t="s">
        <v>54</v>
      </c>
      <c r="BD2" s="2" t="s">
        <v>55</v>
      </c>
      <c r="BE2" s="2" t="s">
        <v>56</v>
      </c>
      <c r="BF2" s="2" t="s">
        <v>28</v>
      </c>
      <c r="BG2" s="2" t="s">
        <v>41</v>
      </c>
      <c r="BH2" s="2" t="s">
        <v>57</v>
      </c>
      <c r="BI2" s="2" t="s">
        <v>58</v>
      </c>
      <c r="BJ2" s="2" t="s">
        <v>59</v>
      </c>
      <c r="BK2" s="2" t="s">
        <v>60</v>
      </c>
      <c r="BL2" s="2" t="s">
        <v>61</v>
      </c>
      <c r="BM2" s="2" t="s">
        <v>42</v>
      </c>
      <c r="BN2" s="2" t="s">
        <v>62</v>
      </c>
      <c r="BO2" s="2" t="s">
        <v>63</v>
      </c>
      <c r="BP2" s="2" t="s">
        <v>64</v>
      </c>
      <c r="BQ2" s="2" t="s">
        <v>65</v>
      </c>
      <c r="BR2" s="2" t="s">
        <v>66</v>
      </c>
      <c r="BS2" s="2" t="s">
        <v>67</v>
      </c>
      <c r="BT2" s="2" t="s">
        <v>68</v>
      </c>
      <c r="BU2" s="2" t="s">
        <v>69</v>
      </c>
      <c r="BV2" s="2" t="s">
        <v>70</v>
      </c>
      <c r="BW2" s="2" t="s">
        <v>71</v>
      </c>
      <c r="BX2" s="2" t="s">
        <v>27</v>
      </c>
      <c r="BY2" s="2" t="s">
        <v>35</v>
      </c>
      <c r="BZ2" s="2" t="s">
        <v>72</v>
      </c>
      <c r="CA2" s="2" t="s">
        <v>73</v>
      </c>
      <c r="CB2" s="2" t="s">
        <v>74</v>
      </c>
      <c r="CC2" s="2" t="s">
        <v>22</v>
      </c>
      <c r="CD2" s="2" t="s">
        <v>75</v>
      </c>
      <c r="CE2" s="2" t="s">
        <v>76</v>
      </c>
      <c r="CF2" s="2" t="s">
        <v>77</v>
      </c>
      <c r="CG2" s="2" t="s">
        <v>78</v>
      </c>
      <c r="CH2" s="2" t="s">
        <v>79</v>
      </c>
      <c r="CI2" s="2" t="s">
        <v>29</v>
      </c>
      <c r="CJ2" s="2" t="s">
        <v>30</v>
      </c>
      <c r="CK2" s="2" t="s">
        <v>31</v>
      </c>
      <c r="CL2" s="2" t="s">
        <v>32</v>
      </c>
      <c r="CM2" s="2" t="s">
        <v>33</v>
      </c>
      <c r="CN2" s="2" t="s">
        <v>34</v>
      </c>
      <c r="CO2" s="2" t="s">
        <v>35</v>
      </c>
      <c r="CP2" s="2" t="s">
        <v>36</v>
      </c>
      <c r="CQ2" s="2" t="s">
        <v>37</v>
      </c>
      <c r="CR2" s="2" t="s">
        <v>28</v>
      </c>
      <c r="CS2" s="2" t="s">
        <v>38</v>
      </c>
      <c r="CT2" s="2" t="s">
        <v>39</v>
      </c>
      <c r="CU2" s="2" t="s">
        <v>40</v>
      </c>
      <c r="CV2" s="2" t="s">
        <v>41</v>
      </c>
      <c r="CW2" s="2" t="s">
        <v>26</v>
      </c>
      <c r="CX2" s="2" t="s">
        <v>16</v>
      </c>
      <c r="CY2" s="2" t="s">
        <v>42</v>
      </c>
      <c r="CZ2" s="2" t="s">
        <v>29</v>
      </c>
      <c r="DA2" s="2" t="s">
        <v>43</v>
      </c>
      <c r="DB2" s="2" t="s">
        <v>44</v>
      </c>
      <c r="DC2" s="2" t="s">
        <v>45</v>
      </c>
      <c r="DD2" s="2" t="s">
        <v>40</v>
      </c>
      <c r="DE2" s="2" t="s">
        <v>46</v>
      </c>
      <c r="DF2" s="2" t="s">
        <v>47</v>
      </c>
      <c r="DG2" s="2" t="s">
        <v>48</v>
      </c>
      <c r="DH2" s="2" t="s">
        <v>30</v>
      </c>
      <c r="DI2" s="2" t="s">
        <v>49</v>
      </c>
      <c r="DJ2" s="2" t="s">
        <v>50</v>
      </c>
      <c r="DK2" s="2" t="s">
        <v>51</v>
      </c>
      <c r="DL2" s="2" t="s">
        <v>31</v>
      </c>
      <c r="DM2" s="2" t="s">
        <v>52</v>
      </c>
      <c r="DN2" s="2" t="s">
        <v>53</v>
      </c>
      <c r="DO2" s="2" t="s">
        <v>54</v>
      </c>
      <c r="DP2" s="2" t="s">
        <v>55</v>
      </c>
      <c r="DQ2" s="2" t="s">
        <v>56</v>
      </c>
      <c r="DR2" s="2" t="s">
        <v>28</v>
      </c>
      <c r="DS2" s="2" t="s">
        <v>41</v>
      </c>
      <c r="DT2" s="2" t="s">
        <v>57</v>
      </c>
      <c r="DU2" s="2" t="s">
        <v>58</v>
      </c>
      <c r="DV2" s="2" t="s">
        <v>59</v>
      </c>
      <c r="DW2" s="2" t="s">
        <v>60</v>
      </c>
      <c r="DX2" s="2" t="s">
        <v>61</v>
      </c>
      <c r="DY2" s="2" t="s">
        <v>42</v>
      </c>
      <c r="DZ2" s="2" t="s">
        <v>62</v>
      </c>
      <c r="EA2" s="2" t="s">
        <v>63</v>
      </c>
      <c r="EB2" s="2" t="s">
        <v>64</v>
      </c>
      <c r="EC2" s="2" t="s">
        <v>65</v>
      </c>
      <c r="ED2" s="2" t="s">
        <v>66</v>
      </c>
      <c r="EE2" s="2" t="s">
        <v>67</v>
      </c>
      <c r="EF2" s="2" t="s">
        <v>68</v>
      </c>
      <c r="EG2" s="2" t="s">
        <v>69</v>
      </c>
      <c r="EH2" s="2" t="s">
        <v>70</v>
      </c>
      <c r="EI2" s="2" t="s">
        <v>71</v>
      </c>
      <c r="EJ2" s="2" t="s">
        <v>27</v>
      </c>
      <c r="EK2" s="2" t="s">
        <v>35</v>
      </c>
      <c r="EL2" s="2" t="s">
        <v>72</v>
      </c>
      <c r="EM2" s="2" t="s">
        <v>73</v>
      </c>
      <c r="EN2" s="2" t="s">
        <v>74</v>
      </c>
      <c r="EO2" s="2" t="s">
        <v>22</v>
      </c>
      <c r="EP2" s="2" t="s">
        <v>75</v>
      </c>
      <c r="EQ2" s="2" t="s">
        <v>76</v>
      </c>
      <c r="ER2" s="2" t="s">
        <v>77</v>
      </c>
      <c r="ES2" s="2" t="s">
        <v>78</v>
      </c>
      <c r="ET2" s="2" t="s">
        <v>79</v>
      </c>
      <c r="EU2" s="2" t="s">
        <v>29</v>
      </c>
      <c r="EV2" s="2" t="s">
        <v>30</v>
      </c>
      <c r="EW2" s="2" t="s">
        <v>31</v>
      </c>
      <c r="EX2" s="2" t="s">
        <v>32</v>
      </c>
      <c r="EY2" s="2" t="s">
        <v>33</v>
      </c>
      <c r="EZ2" s="2" t="s">
        <v>34</v>
      </c>
      <c r="FA2" s="2" t="s">
        <v>35</v>
      </c>
      <c r="FB2" s="2" t="s">
        <v>36</v>
      </c>
      <c r="FC2" s="2" t="s">
        <v>37</v>
      </c>
      <c r="FD2" s="2" t="s">
        <v>28</v>
      </c>
      <c r="FE2" s="2" t="s">
        <v>38</v>
      </c>
      <c r="FF2" s="2" t="s">
        <v>39</v>
      </c>
      <c r="FG2" s="2" t="s">
        <v>40</v>
      </c>
      <c r="FH2" s="2" t="s">
        <v>41</v>
      </c>
      <c r="FI2" s="2" t="s">
        <v>26</v>
      </c>
      <c r="FJ2" s="2" t="s">
        <v>16</v>
      </c>
      <c r="FK2" s="2" t="s">
        <v>42</v>
      </c>
      <c r="FL2" s="2" t="s">
        <v>29</v>
      </c>
      <c r="FM2" s="2" t="s">
        <v>43</v>
      </c>
      <c r="FN2" s="2" t="s">
        <v>44</v>
      </c>
      <c r="FO2" s="2" t="s">
        <v>45</v>
      </c>
      <c r="FP2" s="2" t="s">
        <v>40</v>
      </c>
      <c r="FQ2" s="2" t="s">
        <v>46</v>
      </c>
      <c r="FR2" s="2" t="s">
        <v>47</v>
      </c>
      <c r="FS2" s="2" t="s">
        <v>48</v>
      </c>
      <c r="FT2" s="2" t="s">
        <v>30</v>
      </c>
      <c r="FU2" s="2" t="s">
        <v>49</v>
      </c>
      <c r="FV2" s="2" t="s">
        <v>50</v>
      </c>
      <c r="FW2" s="2" t="s">
        <v>51</v>
      </c>
      <c r="FX2" s="2" t="s">
        <v>31</v>
      </c>
      <c r="FY2" s="2" t="s">
        <v>52</v>
      </c>
      <c r="FZ2" s="2" t="s">
        <v>53</v>
      </c>
      <c r="GA2" s="2" t="s">
        <v>54</v>
      </c>
      <c r="GB2" s="2" t="s">
        <v>55</v>
      </c>
      <c r="GC2" s="2" t="s">
        <v>56</v>
      </c>
      <c r="GD2" s="2" t="s">
        <v>28</v>
      </c>
      <c r="GE2" s="2" t="s">
        <v>41</v>
      </c>
      <c r="GF2" s="2" t="s">
        <v>57</v>
      </c>
      <c r="GG2" s="2" t="s">
        <v>58</v>
      </c>
      <c r="GH2" s="2" t="s">
        <v>59</v>
      </c>
      <c r="GI2" s="2" t="s">
        <v>60</v>
      </c>
      <c r="GJ2" s="2" t="s">
        <v>61</v>
      </c>
      <c r="GK2" s="2" t="s">
        <v>42</v>
      </c>
      <c r="GL2" s="2" t="s">
        <v>62</v>
      </c>
      <c r="GM2" s="2" t="s">
        <v>63</v>
      </c>
      <c r="GN2" s="2" t="s">
        <v>64</v>
      </c>
      <c r="GO2" s="2" t="s">
        <v>65</v>
      </c>
      <c r="GP2" s="2" t="s">
        <v>66</v>
      </c>
      <c r="GQ2" s="2" t="s">
        <v>67</v>
      </c>
      <c r="GR2" s="2" t="s">
        <v>68</v>
      </c>
      <c r="GS2" s="2" t="s">
        <v>69</v>
      </c>
      <c r="GT2" s="2" t="s">
        <v>70</v>
      </c>
      <c r="GU2" s="2" t="s">
        <v>71</v>
      </c>
      <c r="GV2" s="2" t="s">
        <v>27</v>
      </c>
      <c r="GW2" s="2" t="s">
        <v>35</v>
      </c>
      <c r="GX2" s="2" t="s">
        <v>72</v>
      </c>
      <c r="GY2" s="2" t="s">
        <v>73</v>
      </c>
      <c r="GZ2" s="2" t="s">
        <v>74</v>
      </c>
      <c r="HA2" s="2" t="s">
        <v>22</v>
      </c>
      <c r="HB2" s="2" t="s">
        <v>75</v>
      </c>
      <c r="HC2" s="2" t="s">
        <v>76</v>
      </c>
      <c r="HD2" s="2" t="s">
        <v>77</v>
      </c>
      <c r="HE2" s="2" t="s">
        <v>78</v>
      </c>
      <c r="HF2" s="2" t="s">
        <v>79</v>
      </c>
      <c r="HG2" s="1"/>
      <c r="HH2" s="1"/>
    </row>
    <row r="3" spans="1:216" x14ac:dyDescent="0.3">
      <c r="A3" s="3" t="str">
        <f>HYPERLINK("https://hpr-rps.hres.ca/reg-content/summary-basis-decision-detailOne.php?lang=en&amp;linkID=SBD00001", "Abilify")</f>
        <v>Abilify</v>
      </c>
      <c r="B3" s="1" t="s">
        <v>80</v>
      </c>
      <c r="C3" s="1" t="s">
        <v>81</v>
      </c>
      <c r="D3" s="1" t="s">
        <v>82</v>
      </c>
      <c r="E3" s="1"/>
      <c r="F3" s="1"/>
      <c r="G3" s="1"/>
      <c r="H3" s="1">
        <v>39500.25</v>
      </c>
      <c r="I3" s="1"/>
      <c r="J3" s="1"/>
      <c r="K3" s="1"/>
      <c r="L3" s="1"/>
      <c r="M3" s="1"/>
      <c r="N3" s="1"/>
      <c r="O3" s="1"/>
      <c r="P3" s="1"/>
      <c r="Q3" s="1"/>
      <c r="R3" s="1"/>
      <c r="S3" s="1"/>
      <c r="T3" s="1"/>
      <c r="U3" s="1"/>
      <c r="V3" s="1"/>
      <c r="W3" s="1"/>
      <c r="X3" s="1"/>
      <c r="Y3" s="1"/>
      <c r="Z3" s="1"/>
      <c r="AA3" s="1"/>
      <c r="AB3" s="1"/>
      <c r="AC3" s="1"/>
      <c r="AD3" s="1"/>
      <c r="AE3" s="1"/>
      <c r="AF3" s="1">
        <v>39549.25</v>
      </c>
      <c r="AG3" s="1"/>
      <c r="AH3" s="1"/>
      <c r="AI3" s="1"/>
      <c r="AJ3" s="1"/>
      <c r="AK3" s="1"/>
      <c r="AL3" s="1"/>
      <c r="AM3" s="1"/>
      <c r="AN3" s="1"/>
      <c r="AO3" s="1"/>
      <c r="AP3" s="1"/>
      <c r="AQ3" s="1"/>
      <c r="AR3" s="1"/>
      <c r="AS3" s="1">
        <v>39832.25</v>
      </c>
      <c r="AT3" s="1"/>
      <c r="AU3" s="1"/>
      <c r="AV3" s="1">
        <v>39860.25</v>
      </c>
      <c r="AW3" s="1"/>
      <c r="AX3" s="1">
        <v>39847.25</v>
      </c>
      <c r="AY3" s="1"/>
      <c r="AZ3" s="1">
        <v>39843.25</v>
      </c>
      <c r="BA3" s="1"/>
      <c r="BB3" s="1"/>
      <c r="BC3" s="1"/>
      <c r="BD3" s="1"/>
      <c r="BE3" s="1">
        <v>39882.208333333343</v>
      </c>
      <c r="BF3" s="1"/>
      <c r="BG3" s="1"/>
      <c r="BH3" s="1"/>
      <c r="BI3" s="1"/>
      <c r="BJ3" s="1"/>
      <c r="BK3" s="1"/>
      <c r="BL3" s="1"/>
      <c r="BM3" s="1"/>
      <c r="BN3" s="1"/>
      <c r="BO3" s="1"/>
      <c r="BP3" s="1"/>
      <c r="BQ3" s="1"/>
      <c r="BR3" s="1"/>
      <c r="BS3" s="1"/>
      <c r="BT3" s="1"/>
      <c r="BU3" s="1"/>
      <c r="BV3" s="1"/>
      <c r="BW3" s="1"/>
      <c r="BX3" s="1"/>
      <c r="BY3" s="1">
        <v>39938.25</v>
      </c>
      <c r="BZ3" s="1"/>
      <c r="CA3" s="1"/>
      <c r="CB3" s="1"/>
      <c r="CC3" s="1"/>
      <c r="CD3" s="1"/>
      <c r="CE3" s="1"/>
      <c r="CF3" s="1"/>
      <c r="CG3" s="1"/>
      <c r="CH3" s="1"/>
      <c r="CI3" s="1"/>
      <c r="CJ3" s="1"/>
      <c r="CK3" s="1"/>
      <c r="CL3" s="1"/>
      <c r="CM3" s="1"/>
      <c r="CN3" s="1"/>
      <c r="CO3" s="1"/>
      <c r="CP3" s="1"/>
      <c r="CQ3" s="1"/>
      <c r="CR3" s="1">
        <v>39967.25</v>
      </c>
      <c r="CS3" s="1"/>
      <c r="CT3" s="1"/>
      <c r="CU3" s="1"/>
      <c r="CV3" s="1"/>
      <c r="CW3" s="1"/>
      <c r="CX3" s="1"/>
      <c r="CY3" s="1"/>
      <c r="CZ3" s="1"/>
      <c r="DA3" s="1"/>
      <c r="DB3" s="1"/>
      <c r="DC3" s="1"/>
      <c r="DD3" s="1">
        <v>39989.25</v>
      </c>
      <c r="DE3" s="1"/>
      <c r="DF3" s="1"/>
      <c r="DG3" s="1"/>
      <c r="DH3" s="1"/>
      <c r="DI3" s="1"/>
      <c r="DJ3" s="1"/>
      <c r="DK3" s="1"/>
      <c r="DL3" s="1">
        <v>39993.25</v>
      </c>
      <c r="DM3" s="1"/>
      <c r="DN3" s="1"/>
      <c r="DO3" s="1"/>
      <c r="DP3" s="1"/>
      <c r="DQ3" s="1"/>
      <c r="DR3" s="1"/>
      <c r="DS3" s="1"/>
      <c r="DT3" s="1"/>
      <c r="DU3" s="1"/>
      <c r="DV3" s="1"/>
      <c r="DW3" s="1"/>
      <c r="DX3" s="1"/>
      <c r="DY3" s="1">
        <v>40003.25</v>
      </c>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row>
    <row r="4" spans="1:216" x14ac:dyDescent="0.3">
      <c r="A4" s="3" t="str">
        <f>HYPERLINK("https://hpr-rps.hres.ca/reg-content/summary-basis-decision-detailOne.php?lang=en&amp;linkID=SBD00002", "Actemra TM")</f>
        <v>Actemra TM</v>
      </c>
      <c r="B4" s="1" t="s">
        <v>83</v>
      </c>
      <c r="C4" s="1" t="s">
        <v>84</v>
      </c>
      <c r="D4" s="1" t="s">
        <v>85</v>
      </c>
      <c r="E4" s="1">
        <v>39427.25</v>
      </c>
      <c r="F4" s="1"/>
      <c r="G4" s="1"/>
      <c r="H4" s="1">
        <v>39547.25</v>
      </c>
      <c r="I4" s="1"/>
      <c r="J4" s="1"/>
      <c r="K4" s="1"/>
      <c r="L4" s="1"/>
      <c r="M4" s="1"/>
      <c r="N4" s="1"/>
      <c r="O4" s="1"/>
      <c r="P4" s="1"/>
      <c r="Q4" s="1"/>
      <c r="R4" s="1"/>
      <c r="S4" s="1"/>
      <c r="T4" s="1"/>
      <c r="U4" s="1"/>
      <c r="V4" s="1"/>
      <c r="W4" s="1"/>
      <c r="X4" s="1"/>
      <c r="Y4" s="1"/>
      <c r="Z4" s="1"/>
      <c r="AA4" s="1"/>
      <c r="AB4" s="1"/>
      <c r="AC4" s="1"/>
      <c r="AD4" s="1"/>
      <c r="AE4" s="1"/>
      <c r="AF4" s="1">
        <v>39588.25</v>
      </c>
      <c r="AG4" s="1"/>
      <c r="AH4" s="1"/>
      <c r="AI4" s="1"/>
      <c r="AJ4" s="1"/>
      <c r="AK4" s="1"/>
      <c r="AL4" s="1"/>
      <c r="AM4" s="1"/>
      <c r="AN4" s="1"/>
      <c r="AO4" s="1">
        <v>39762.25</v>
      </c>
      <c r="AP4" s="1"/>
      <c r="AQ4" s="1"/>
      <c r="AR4" s="1"/>
      <c r="AS4" s="1"/>
      <c r="AT4" s="1"/>
      <c r="AU4" s="1"/>
      <c r="AV4" s="1">
        <v>39906.25</v>
      </c>
      <c r="AW4" s="1"/>
      <c r="AX4" s="1">
        <v>39906.25</v>
      </c>
      <c r="AY4" s="1"/>
      <c r="AZ4" s="1"/>
      <c r="BA4" s="1"/>
      <c r="BB4" s="1"/>
      <c r="BC4" s="1"/>
      <c r="BD4" s="1"/>
      <c r="BE4" s="1"/>
      <c r="BF4" s="1"/>
      <c r="BG4" s="1"/>
      <c r="BH4" s="1"/>
      <c r="BI4" s="1"/>
      <c r="BJ4" s="1"/>
      <c r="BK4" s="1"/>
      <c r="BL4" s="1"/>
      <c r="BM4" s="1"/>
      <c r="BN4" s="1"/>
      <c r="BO4" s="1"/>
      <c r="BP4" s="1"/>
      <c r="BQ4" s="1"/>
      <c r="BR4" s="1"/>
      <c r="BS4" s="1"/>
      <c r="BT4" s="1"/>
      <c r="BU4" s="1"/>
      <c r="BV4" s="1"/>
      <c r="BW4" s="1"/>
      <c r="BX4" s="1"/>
      <c r="BY4" s="1">
        <v>40021.25</v>
      </c>
      <c r="BZ4" s="1"/>
      <c r="CA4" s="1"/>
      <c r="CB4" s="1"/>
      <c r="CC4" s="1"/>
      <c r="CD4" s="1"/>
      <c r="CE4" s="1"/>
      <c r="CF4" s="1"/>
      <c r="CG4" s="1"/>
      <c r="CH4" s="1"/>
      <c r="CI4" s="1"/>
      <c r="CJ4" s="1"/>
      <c r="CK4" s="1"/>
      <c r="CL4" s="1"/>
      <c r="CM4" s="1"/>
      <c r="CN4" s="1"/>
      <c r="CO4" s="1"/>
      <c r="CP4" s="1"/>
      <c r="CQ4" s="1"/>
      <c r="CR4" s="1">
        <v>40034.25</v>
      </c>
      <c r="CS4" s="1"/>
      <c r="CT4" s="1"/>
      <c r="CU4" s="1"/>
      <c r="CV4" s="1"/>
      <c r="CW4" s="1"/>
      <c r="CX4" s="1"/>
      <c r="CY4" s="1"/>
      <c r="CZ4" s="1"/>
      <c r="DA4" s="1"/>
      <c r="DB4" s="1"/>
      <c r="DC4" s="1"/>
      <c r="DD4" s="1">
        <v>40297.25</v>
      </c>
      <c r="DE4" s="1"/>
      <c r="DF4" s="1"/>
      <c r="DG4" s="1"/>
      <c r="DH4" s="1">
        <v>40298.25</v>
      </c>
      <c r="DI4" s="1"/>
      <c r="DJ4" s="1">
        <v>40298.25</v>
      </c>
      <c r="DK4" s="1"/>
      <c r="DL4" s="1">
        <v>40298.25</v>
      </c>
      <c r="DM4" s="1"/>
      <c r="DN4" s="1"/>
      <c r="DO4" s="1"/>
      <c r="DP4" s="1"/>
      <c r="DQ4" s="1"/>
      <c r="DR4" s="1"/>
      <c r="DS4" s="1"/>
      <c r="DT4" s="1"/>
      <c r="DU4" s="1"/>
      <c r="DV4" s="1"/>
      <c r="DW4" s="1"/>
      <c r="DX4" s="1"/>
      <c r="DY4" s="1">
        <v>40298.25</v>
      </c>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row>
    <row r="5" spans="1:216" x14ac:dyDescent="0.3">
      <c r="A5" s="3" t="str">
        <f>HYPERLINK("https://hpr-rps.hres.ca/reg-content/summary-basis-decision-detailOne.php?lang=en&amp;linkID=SBD00003", "Afinitor")</f>
        <v>Afinitor</v>
      </c>
      <c r="B5" s="1" t="s">
        <v>86</v>
      </c>
      <c r="C5" s="1" t="s">
        <v>87</v>
      </c>
      <c r="D5" s="1" t="s">
        <v>88</v>
      </c>
      <c r="E5" s="1">
        <v>39611.25</v>
      </c>
      <c r="F5" s="1"/>
      <c r="G5" s="1"/>
      <c r="H5" s="1"/>
      <c r="I5" s="1"/>
      <c r="J5" s="1"/>
      <c r="K5" s="1"/>
      <c r="L5" s="1"/>
      <c r="M5" s="1"/>
      <c r="N5" s="1">
        <v>39706.25</v>
      </c>
      <c r="O5" s="1"/>
      <c r="P5" s="1"/>
      <c r="Q5" s="1"/>
      <c r="R5" s="1"/>
      <c r="S5" s="1">
        <v>39737.25</v>
      </c>
      <c r="T5" s="1"/>
      <c r="U5" s="1"/>
      <c r="V5" s="1">
        <v>39752.208333333343</v>
      </c>
      <c r="W5" s="1"/>
      <c r="X5" s="1"/>
      <c r="Y5" s="1"/>
      <c r="Z5" s="1">
        <v>39799.25</v>
      </c>
      <c r="AA5" s="1"/>
      <c r="AB5" s="1"/>
      <c r="AC5" s="1">
        <v>39840.25</v>
      </c>
      <c r="AD5" s="1"/>
      <c r="AE5" s="1"/>
      <c r="AF5" s="1">
        <v>39861.25</v>
      </c>
      <c r="AG5" s="1"/>
      <c r="AH5" s="1"/>
      <c r="AI5" s="1"/>
      <c r="AJ5" s="1"/>
      <c r="AK5" s="1"/>
      <c r="AL5" s="1"/>
      <c r="AM5" s="1"/>
      <c r="AN5" s="1"/>
      <c r="AO5" s="1"/>
      <c r="AP5" s="1"/>
      <c r="AQ5" s="1"/>
      <c r="AR5" s="1">
        <v>40155.25</v>
      </c>
      <c r="AS5" s="1"/>
      <c r="AT5" s="1"/>
      <c r="AU5" s="1"/>
      <c r="AV5" s="1">
        <v>40158.25</v>
      </c>
      <c r="AW5" s="1"/>
      <c r="AX5" s="1">
        <v>40088.25</v>
      </c>
      <c r="AY5" s="1"/>
      <c r="AZ5" s="1">
        <v>40161.25</v>
      </c>
      <c r="BA5" s="1"/>
      <c r="BB5" s="1"/>
      <c r="BC5" s="1"/>
      <c r="BD5" s="1"/>
      <c r="BE5" s="1"/>
      <c r="BF5" s="1"/>
      <c r="BG5" s="1"/>
      <c r="BH5" s="1">
        <v>40101.25</v>
      </c>
      <c r="BI5" s="1"/>
      <c r="BJ5" s="1"/>
      <c r="BK5" s="1"/>
      <c r="BL5" s="1"/>
      <c r="BM5" s="1">
        <v>40161.25</v>
      </c>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row>
    <row r="6" spans="1:216" x14ac:dyDescent="0.3">
      <c r="A6" s="3" t="str">
        <f>HYPERLINK("https://hpr-rps.hres.ca/reg-content/summary-basis-decision-detailOne.php?lang=en&amp;linkID=SBD00004", "Aloxi ®")</f>
        <v>Aloxi ®</v>
      </c>
      <c r="B6" s="1" t="s">
        <v>89</v>
      </c>
      <c r="C6" s="1" t="s">
        <v>90</v>
      </c>
      <c r="D6" s="1" t="s">
        <v>91</v>
      </c>
      <c r="E6" s="1">
        <v>39107.25</v>
      </c>
      <c r="F6" s="1"/>
      <c r="G6" s="1"/>
      <c r="H6" s="1">
        <v>40633.25</v>
      </c>
      <c r="I6" s="1"/>
      <c r="J6" s="1"/>
      <c r="K6" s="1"/>
      <c r="L6" s="1"/>
      <c r="M6" s="1"/>
      <c r="N6" s="1"/>
      <c r="O6" s="1"/>
      <c r="P6" s="1"/>
      <c r="Q6" s="1"/>
      <c r="R6" s="1"/>
      <c r="S6" s="1"/>
      <c r="T6" s="1"/>
      <c r="U6" s="1"/>
      <c r="V6" s="1"/>
      <c r="W6" s="1"/>
      <c r="X6" s="1"/>
      <c r="Y6" s="1"/>
      <c r="Z6" s="1"/>
      <c r="AA6" s="1"/>
      <c r="AB6" s="1"/>
      <c r="AC6" s="1"/>
      <c r="AD6" s="1"/>
      <c r="AE6" s="1"/>
      <c r="AF6" s="1">
        <v>40683.25</v>
      </c>
      <c r="AG6" s="1"/>
      <c r="AH6" s="1"/>
      <c r="AI6" s="1"/>
      <c r="AJ6" s="1"/>
      <c r="AK6" s="1"/>
      <c r="AL6" s="1"/>
      <c r="AM6" s="1"/>
      <c r="AN6" s="1"/>
      <c r="AO6" s="1"/>
      <c r="AP6" s="1"/>
      <c r="AQ6" s="1"/>
      <c r="AR6" s="1">
        <v>40975.25</v>
      </c>
      <c r="AS6" s="1">
        <v>40949.25</v>
      </c>
      <c r="AT6" s="1"/>
      <c r="AU6" s="1"/>
      <c r="AV6" s="1">
        <v>40976.25</v>
      </c>
      <c r="AW6" s="1"/>
      <c r="AX6" s="1">
        <v>40924.25</v>
      </c>
      <c r="AY6" s="1"/>
      <c r="AZ6" s="1">
        <v>40977.25</v>
      </c>
      <c r="BA6" s="1"/>
      <c r="BB6" s="1"/>
      <c r="BC6" s="1"/>
      <c r="BD6" s="1"/>
      <c r="BE6" s="1"/>
      <c r="BF6" s="1"/>
      <c r="BG6" s="1"/>
      <c r="BH6" s="1"/>
      <c r="BI6" s="1"/>
      <c r="BJ6" s="1"/>
      <c r="BK6" s="1"/>
      <c r="BL6" s="1"/>
      <c r="BM6" s="1">
        <v>40982.208333333343</v>
      </c>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row>
    <row r="7" spans="1:216" x14ac:dyDescent="0.3">
      <c r="A7" s="3" t="str">
        <f>HYPERLINK("https://hpr-rps.hres.ca/reg-content/summary-basis-decision-detailOne.php?lang=en&amp;linkID=SBD00005", "Alrex ®")</f>
        <v>Alrex ®</v>
      </c>
      <c r="B7" s="1" t="s">
        <v>92</v>
      </c>
      <c r="C7" s="1" t="s">
        <v>93</v>
      </c>
      <c r="D7" s="1" t="s">
        <v>94</v>
      </c>
      <c r="E7" s="1">
        <v>39225.25</v>
      </c>
      <c r="F7" s="1"/>
      <c r="G7" s="1"/>
      <c r="H7" s="1">
        <v>39358.25</v>
      </c>
      <c r="I7" s="1"/>
      <c r="J7" s="1"/>
      <c r="K7" s="1"/>
      <c r="L7" s="1"/>
      <c r="M7" s="1"/>
      <c r="N7" s="1"/>
      <c r="O7" s="1"/>
      <c r="P7" s="1"/>
      <c r="Q7" s="1"/>
      <c r="R7" s="1"/>
      <c r="S7" s="1"/>
      <c r="T7" s="1"/>
      <c r="U7" s="1"/>
      <c r="V7" s="1"/>
      <c r="W7" s="1"/>
      <c r="X7" s="1"/>
      <c r="Y7" s="1"/>
      <c r="Z7" s="1">
        <v>39405.25</v>
      </c>
      <c r="AA7" s="1"/>
      <c r="AB7" s="1"/>
      <c r="AC7" s="1">
        <v>39451.25</v>
      </c>
      <c r="AD7" s="1"/>
      <c r="AE7" s="1"/>
      <c r="AF7" s="1">
        <v>39486.25</v>
      </c>
      <c r="AG7" s="1"/>
      <c r="AH7" s="1"/>
      <c r="AI7" s="1"/>
      <c r="AJ7" s="1"/>
      <c r="AK7" s="1"/>
      <c r="AL7" s="1"/>
      <c r="AM7" s="1"/>
      <c r="AN7" s="1"/>
      <c r="AO7" s="1"/>
      <c r="AP7" s="1"/>
      <c r="AQ7" s="1"/>
      <c r="AR7" s="1">
        <v>39800.25</v>
      </c>
      <c r="AS7" s="1"/>
      <c r="AT7" s="1"/>
      <c r="AU7" s="1"/>
      <c r="AV7" s="1">
        <v>39797.25</v>
      </c>
      <c r="AW7" s="1"/>
      <c r="AX7" s="1"/>
      <c r="AY7" s="1"/>
      <c r="AZ7" s="1">
        <v>39786.25</v>
      </c>
      <c r="BA7" s="1"/>
      <c r="BB7" s="1"/>
      <c r="BC7" s="1"/>
      <c r="BD7" s="1"/>
      <c r="BE7" s="1"/>
      <c r="BF7" s="1"/>
      <c r="BG7" s="1"/>
      <c r="BH7" s="1"/>
      <c r="BI7" s="1"/>
      <c r="BJ7" s="1"/>
      <c r="BK7" s="1"/>
      <c r="BL7" s="1"/>
      <c r="BM7" s="1">
        <v>39805.25</v>
      </c>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row>
    <row r="8" spans="1:216" x14ac:dyDescent="0.3">
      <c r="A8" s="3" t="str">
        <f>HYPERLINK("https://hpr-rps.hres.ca/reg-content/summary-basis-decision-detailOne.php?lang=en&amp;linkID=SBD00006", "Altargo TM")</f>
        <v>Altargo TM</v>
      </c>
      <c r="B8" s="1" t="s">
        <v>95</v>
      </c>
      <c r="C8" s="1" t="s">
        <v>96</v>
      </c>
      <c r="D8" s="1" t="s">
        <v>97</v>
      </c>
      <c r="E8" s="1"/>
      <c r="F8" s="1"/>
      <c r="G8" s="1"/>
      <c r="H8" s="1">
        <v>39122.25</v>
      </c>
      <c r="I8" s="1"/>
      <c r="J8" s="1"/>
      <c r="K8" s="1"/>
      <c r="L8" s="1"/>
      <c r="M8" s="1"/>
      <c r="N8" s="1"/>
      <c r="O8" s="1"/>
      <c r="P8" s="1"/>
      <c r="Q8" s="1"/>
      <c r="R8" s="1"/>
      <c r="S8" s="1"/>
      <c r="T8" s="1"/>
      <c r="U8" s="1"/>
      <c r="V8" s="1"/>
      <c r="W8" s="1"/>
      <c r="X8" s="1"/>
      <c r="Y8" s="1"/>
      <c r="Z8" s="1">
        <v>39177.25</v>
      </c>
      <c r="AA8" s="1"/>
      <c r="AB8" s="1"/>
      <c r="AC8" s="1">
        <v>39211.25</v>
      </c>
      <c r="AD8" s="1"/>
      <c r="AE8" s="1"/>
      <c r="AF8" s="1">
        <v>39230.25</v>
      </c>
      <c r="AG8" s="1"/>
      <c r="AH8" s="1"/>
      <c r="AI8" s="1"/>
      <c r="AJ8" s="1"/>
      <c r="AK8" s="1"/>
      <c r="AL8" s="1"/>
      <c r="AM8" s="1"/>
      <c r="AN8" s="1"/>
      <c r="AO8" s="1"/>
      <c r="AP8" s="1"/>
      <c r="AQ8" s="1"/>
      <c r="AR8" s="1">
        <v>39525.208333333343</v>
      </c>
      <c r="AS8" s="1"/>
      <c r="AT8" s="1"/>
      <c r="AU8" s="1"/>
      <c r="AV8" s="1">
        <v>39524.208333333343</v>
      </c>
      <c r="AW8" s="1"/>
      <c r="AX8" s="1"/>
      <c r="AY8" s="1"/>
      <c r="AZ8" s="1">
        <v>39524.208333333343</v>
      </c>
      <c r="BA8" s="1"/>
      <c r="BB8" s="1"/>
      <c r="BC8" s="1"/>
      <c r="BD8" s="1"/>
      <c r="BE8" s="1"/>
      <c r="BF8" s="1"/>
      <c r="BG8" s="1"/>
      <c r="BH8" s="1"/>
      <c r="BI8" s="1"/>
      <c r="BJ8" s="1"/>
      <c r="BK8" s="1"/>
      <c r="BL8" s="1"/>
      <c r="BM8" s="1">
        <v>39526.208333333343</v>
      </c>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row>
    <row r="9" spans="1:216" x14ac:dyDescent="0.3">
      <c r="A9" s="3" t="str">
        <f>HYPERLINK("https://hpr-rps.hres.ca/reg-content/summary-basis-decision-detailOne.php?lang=en&amp;linkID=SBD00007", "Alvesco ®")</f>
        <v>Alvesco ®</v>
      </c>
      <c r="B9" s="1" t="s">
        <v>98</v>
      </c>
      <c r="C9" s="1" t="s">
        <v>99</v>
      </c>
      <c r="D9" s="1" t="s">
        <v>100</v>
      </c>
      <c r="E9" s="1">
        <v>37391.25</v>
      </c>
      <c r="F9" s="1"/>
      <c r="G9" s="1"/>
      <c r="H9" s="1"/>
      <c r="I9" s="1"/>
      <c r="J9" s="1"/>
      <c r="K9" s="1"/>
      <c r="L9" s="1"/>
      <c r="M9" s="1"/>
      <c r="N9" s="1">
        <v>37398.25</v>
      </c>
      <c r="O9" s="1"/>
      <c r="P9" s="1"/>
      <c r="Q9" s="1"/>
      <c r="R9" s="1"/>
      <c r="S9" s="1"/>
      <c r="T9" s="1">
        <v>37419.25</v>
      </c>
      <c r="U9" s="1"/>
      <c r="V9" s="1">
        <v>37417.25</v>
      </c>
      <c r="W9" s="1"/>
      <c r="X9" s="1"/>
      <c r="Y9" s="1"/>
      <c r="Z9" s="1">
        <v>37441.25</v>
      </c>
      <c r="AA9" s="1"/>
      <c r="AB9" s="1"/>
      <c r="AC9" s="1">
        <v>37454.25</v>
      </c>
      <c r="AD9" s="1"/>
      <c r="AE9" s="1"/>
      <c r="AF9" s="1">
        <v>37469.25</v>
      </c>
      <c r="AG9" s="1"/>
      <c r="AH9" s="1"/>
      <c r="AI9" s="1"/>
      <c r="AJ9" s="1"/>
      <c r="AK9" s="1"/>
      <c r="AL9" s="1"/>
      <c r="AM9" s="1"/>
      <c r="AN9" s="1"/>
      <c r="AO9" s="1"/>
      <c r="AP9" s="1"/>
      <c r="AQ9" s="1"/>
      <c r="AR9" s="1"/>
      <c r="AS9" s="1"/>
      <c r="AT9" s="1"/>
      <c r="AU9" s="1"/>
      <c r="AV9" s="1">
        <v>37754.25</v>
      </c>
      <c r="AW9" s="1"/>
      <c r="AX9" s="1"/>
      <c r="AY9" s="1"/>
      <c r="AZ9" s="1">
        <v>37824.25</v>
      </c>
      <c r="BA9" s="1"/>
      <c r="BB9" s="1"/>
      <c r="BC9" s="1"/>
      <c r="BD9" s="1"/>
      <c r="BE9" s="1"/>
      <c r="BF9" s="1"/>
      <c r="BG9" s="1"/>
      <c r="BH9" s="1"/>
      <c r="BI9" s="1"/>
      <c r="BJ9" s="1"/>
      <c r="BK9" s="1"/>
      <c r="BL9" s="1"/>
      <c r="BM9" s="1"/>
      <c r="BN9" s="1"/>
      <c r="BO9" s="1"/>
      <c r="BP9" s="1"/>
      <c r="BQ9" s="1"/>
      <c r="BR9" s="1"/>
      <c r="BS9" s="1"/>
      <c r="BT9" s="1">
        <v>37834.25</v>
      </c>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row>
    <row r="10" spans="1:216" x14ac:dyDescent="0.3">
      <c r="A10" s="3" t="str">
        <f>HYPERLINK("https://hpr-rps.hres.ca/reg-content/summary-basis-decision-detailOne.php?lang=en&amp;linkID=SBD00008", "Apidra TM")</f>
        <v>Apidra TM</v>
      </c>
      <c r="B10" s="1" t="s">
        <v>101</v>
      </c>
      <c r="C10" s="1" t="s">
        <v>102</v>
      </c>
      <c r="D10" s="1" t="s">
        <v>103</v>
      </c>
      <c r="E10" s="1"/>
      <c r="F10" s="1"/>
      <c r="G10" s="1"/>
      <c r="H10" s="1">
        <v>37929.25</v>
      </c>
      <c r="I10" s="1"/>
      <c r="J10" s="1"/>
      <c r="K10" s="1"/>
      <c r="L10" s="1"/>
      <c r="M10" s="1"/>
      <c r="N10" s="1"/>
      <c r="O10" s="1"/>
      <c r="P10" s="1"/>
      <c r="Q10" s="1"/>
      <c r="R10" s="1"/>
      <c r="S10" s="1"/>
      <c r="T10" s="1"/>
      <c r="U10" s="1"/>
      <c r="V10" s="1"/>
      <c r="W10" s="1"/>
      <c r="X10" s="1"/>
      <c r="Y10" s="1"/>
      <c r="Z10" s="1"/>
      <c r="AA10" s="1"/>
      <c r="AB10" s="1"/>
      <c r="AC10" s="1"/>
      <c r="AD10" s="1"/>
      <c r="AE10" s="1"/>
      <c r="AF10" s="1">
        <v>37999.25</v>
      </c>
      <c r="AG10" s="1"/>
      <c r="AH10" s="1"/>
      <c r="AI10" s="1"/>
      <c r="AJ10" s="1"/>
      <c r="AK10" s="1"/>
      <c r="AL10" s="1"/>
      <c r="AM10" s="1"/>
      <c r="AN10" s="1"/>
      <c r="AO10" s="1"/>
      <c r="AP10" s="1"/>
      <c r="AQ10" s="1"/>
      <c r="AR10" s="1">
        <v>38812.25</v>
      </c>
      <c r="AS10" s="1"/>
      <c r="AT10" s="1"/>
      <c r="AU10" s="1"/>
      <c r="AV10" s="1">
        <v>38807.291666666657</v>
      </c>
      <c r="AW10" s="1"/>
      <c r="AX10" s="1"/>
      <c r="AY10" s="1"/>
      <c r="AZ10" s="1">
        <v>38805.291666666657</v>
      </c>
      <c r="BA10" s="1"/>
      <c r="BB10" s="1"/>
      <c r="BC10" s="1"/>
      <c r="BD10" s="1"/>
      <c r="BE10" s="1"/>
      <c r="BF10" s="1"/>
      <c r="BG10" s="1"/>
      <c r="BH10" s="1"/>
      <c r="BI10" s="1"/>
      <c r="BJ10" s="1"/>
      <c r="BK10" s="1"/>
      <c r="BL10" s="1"/>
      <c r="BM10" s="1">
        <v>38819.25</v>
      </c>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row>
    <row r="11" spans="1:216" x14ac:dyDescent="0.3">
      <c r="A11" s="3" t="str">
        <f>HYPERLINK("https://hpr-rps.hres.ca/reg-content/summary-basis-decision-detailOne.php?lang=en&amp;linkID=SBD00009", "Aptivus ®")</f>
        <v>Aptivus ®</v>
      </c>
      <c r="B11" s="1" t="s">
        <v>104</v>
      </c>
      <c r="C11" s="1" t="s">
        <v>105</v>
      </c>
      <c r="D11" s="1" t="s">
        <v>106</v>
      </c>
      <c r="E11" s="1">
        <v>38450.25</v>
      </c>
      <c r="F11" s="1"/>
      <c r="G11" s="1"/>
      <c r="H11" s="1"/>
      <c r="I11" s="1"/>
      <c r="J11" s="1"/>
      <c r="K11" s="1"/>
      <c r="L11" s="1"/>
      <c r="M11" s="1"/>
      <c r="N11" s="1">
        <v>38434.25</v>
      </c>
      <c r="O11" s="1"/>
      <c r="P11" s="1"/>
      <c r="Q11" s="1"/>
      <c r="R11" s="1"/>
      <c r="S11" s="1">
        <v>38456.25</v>
      </c>
      <c r="T11" s="1"/>
      <c r="U11" s="1">
        <v>38541.25</v>
      </c>
      <c r="V11" s="1">
        <v>38481.25</v>
      </c>
      <c r="W11" s="1"/>
      <c r="X11" s="1"/>
      <c r="Y11" s="1"/>
      <c r="Z11" s="1"/>
      <c r="AA11" s="1">
        <v>38664.25</v>
      </c>
      <c r="AB11" s="1"/>
      <c r="AC11" s="1"/>
      <c r="AD11" s="1"/>
      <c r="AE11" s="1">
        <v>38653.25</v>
      </c>
      <c r="AF11" s="1"/>
      <c r="AG11" s="1"/>
      <c r="AH11" s="1"/>
      <c r="AI11" s="1">
        <v>38664.25</v>
      </c>
      <c r="AJ11" s="1"/>
      <c r="AK11" s="1"/>
      <c r="AL11" s="1"/>
      <c r="AM11" s="1"/>
      <c r="AN11" s="1"/>
      <c r="AO11" s="1"/>
      <c r="AP11" s="1"/>
      <c r="AQ11" s="1"/>
      <c r="AR11" s="1"/>
      <c r="AS11" s="1"/>
      <c r="AT11" s="1"/>
      <c r="AU11" s="1"/>
      <c r="AV11" s="1">
        <v>38677.25</v>
      </c>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row>
    <row r="12" spans="1:216" x14ac:dyDescent="0.3">
      <c r="A12" s="3" t="str">
        <f>HYPERLINK("https://hpr-rps.hres.ca/reg-content/summary-basis-decision-detailOne.php?lang=en&amp;linkID=SBD00010", "Arepanrix TM")</f>
        <v>Arepanrix TM</v>
      </c>
      <c r="B12" s="1" t="s">
        <v>107</v>
      </c>
      <c r="C12" s="1" t="s">
        <v>108</v>
      </c>
      <c r="D12" s="1" t="s">
        <v>109</v>
      </c>
      <c r="E12" s="1">
        <v>39112.25</v>
      </c>
      <c r="F12" s="1"/>
      <c r="G12" s="1"/>
      <c r="H12" s="1"/>
      <c r="I12" s="1"/>
      <c r="J12" s="1"/>
      <c r="K12" s="1">
        <v>40043.25</v>
      </c>
      <c r="L12" s="1"/>
      <c r="M12" s="1"/>
      <c r="N12" s="1"/>
      <c r="O12" s="1"/>
      <c r="P12" s="1"/>
      <c r="Q12" s="1"/>
      <c r="R12" s="1"/>
      <c r="S12" s="1"/>
      <c r="T12" s="1"/>
      <c r="U12" s="1"/>
      <c r="V12" s="1"/>
      <c r="W12" s="1"/>
      <c r="X12" s="1"/>
      <c r="Y12" s="1">
        <v>40086.25</v>
      </c>
      <c r="Z12" s="1"/>
      <c r="AA12" s="1"/>
      <c r="AB12" s="1"/>
      <c r="AC12" s="1"/>
      <c r="AD12" s="1"/>
      <c r="AE12" s="1"/>
      <c r="AF12" s="1">
        <v>40058.25</v>
      </c>
      <c r="AG12" s="1"/>
      <c r="AH12" s="1"/>
      <c r="AI12" s="1"/>
      <c r="AJ12" s="1"/>
      <c r="AK12" s="1"/>
      <c r="AL12" s="1">
        <v>40070.25</v>
      </c>
      <c r="AM12" s="1"/>
      <c r="AN12" s="1"/>
      <c r="AO12" s="1">
        <v>40086.25</v>
      </c>
      <c r="AP12" s="1"/>
      <c r="AQ12" s="1"/>
      <c r="AR12" s="1">
        <v>40014.25</v>
      </c>
      <c r="AS12" s="1"/>
      <c r="AT12" s="1"/>
      <c r="AU12" s="1"/>
      <c r="AV12" s="1">
        <v>40107.25</v>
      </c>
      <c r="AW12" s="1"/>
      <c r="AX12" s="1"/>
      <c r="AY12" s="1"/>
      <c r="AZ12" s="1">
        <v>40107.25</v>
      </c>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v>40099.25</v>
      </c>
      <c r="CE12" s="1">
        <v>40107.25</v>
      </c>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row>
    <row r="13" spans="1:216" x14ac:dyDescent="0.3">
      <c r="A13" s="3" t="str">
        <f>HYPERLINK("https://hpr-rps.hres.ca/reg-content/summary-basis-decision-detailOne.php?lang=en&amp;linkID=SBD00011", "Atriance TM")</f>
        <v>Atriance TM</v>
      </c>
      <c r="B13" s="1" t="s">
        <v>110</v>
      </c>
      <c r="C13" s="1" t="s">
        <v>96</v>
      </c>
      <c r="D13" s="1" t="s">
        <v>111</v>
      </c>
      <c r="E13" s="1"/>
      <c r="F13" s="1"/>
      <c r="G13" s="1"/>
      <c r="H13" s="1"/>
      <c r="I13" s="1"/>
      <c r="J13" s="1"/>
      <c r="K13" s="1"/>
      <c r="L13" s="1"/>
      <c r="M13" s="1"/>
      <c r="N13" s="1">
        <v>38546.25</v>
      </c>
      <c r="O13" s="1"/>
      <c r="P13" s="1"/>
      <c r="Q13" s="1"/>
      <c r="R13" s="1"/>
      <c r="S13" s="1"/>
      <c r="T13" s="1">
        <v>38582.25</v>
      </c>
      <c r="U13" s="1"/>
      <c r="V13" s="1">
        <v>38623.25</v>
      </c>
      <c r="W13" s="1"/>
      <c r="X13" s="1"/>
      <c r="Y13" s="1"/>
      <c r="Z13" s="1">
        <v>38674.25</v>
      </c>
      <c r="AA13" s="1"/>
      <c r="AB13" s="1"/>
      <c r="AC13" s="1">
        <v>38733.25</v>
      </c>
      <c r="AD13" s="1"/>
      <c r="AE13" s="1"/>
      <c r="AF13" s="1">
        <v>38779.25</v>
      </c>
      <c r="AG13" s="1"/>
      <c r="AH13" s="1"/>
      <c r="AI13" s="1"/>
      <c r="AJ13" s="1"/>
      <c r="AK13" s="1"/>
      <c r="AL13" s="1"/>
      <c r="AM13" s="1"/>
      <c r="AN13" s="1"/>
      <c r="AO13" s="1"/>
      <c r="AP13" s="1"/>
      <c r="AQ13" s="1"/>
      <c r="AR13" s="1"/>
      <c r="AS13" s="1"/>
      <c r="AT13" s="1"/>
      <c r="AU13" s="1"/>
      <c r="AV13" s="1">
        <v>39070.25</v>
      </c>
      <c r="AW13" s="1"/>
      <c r="AX13" s="1"/>
      <c r="AY13" s="1"/>
      <c r="AZ13" s="1">
        <v>39056.25</v>
      </c>
      <c r="BA13" s="1"/>
      <c r="BB13" s="1"/>
      <c r="BC13" s="1"/>
      <c r="BD13" s="1"/>
      <c r="BE13" s="1"/>
      <c r="BF13" s="1"/>
      <c r="BG13" s="1"/>
      <c r="BH13" s="1"/>
      <c r="BI13" s="1"/>
      <c r="BJ13" s="1"/>
      <c r="BK13" s="1"/>
      <c r="BL13" s="1"/>
      <c r="BM13" s="1"/>
      <c r="BN13" s="1"/>
      <c r="BO13" s="1"/>
      <c r="BP13" s="1"/>
      <c r="BQ13" s="1"/>
      <c r="BR13" s="1"/>
      <c r="BS13" s="1"/>
      <c r="BT13" s="1">
        <v>39073.25</v>
      </c>
      <c r="BU13" s="1"/>
      <c r="BV13" s="1"/>
      <c r="BW13" s="1"/>
      <c r="BX13" s="1"/>
      <c r="BY13" s="1">
        <v>39149.25</v>
      </c>
      <c r="BZ13" s="1"/>
      <c r="CA13" s="1"/>
      <c r="CB13" s="1"/>
      <c r="CC13" s="1"/>
      <c r="CD13" s="1"/>
      <c r="CE13" s="1"/>
      <c r="CF13" s="1"/>
      <c r="CG13" s="1"/>
      <c r="CH13" s="1"/>
      <c r="CI13" s="1"/>
      <c r="CJ13" s="1"/>
      <c r="CK13" s="1"/>
      <c r="CL13" s="1"/>
      <c r="CM13" s="1"/>
      <c r="CN13" s="1"/>
      <c r="CO13" s="1"/>
      <c r="CP13" s="1"/>
      <c r="CQ13" s="1"/>
      <c r="CR13" s="1">
        <v>39156.208333333343</v>
      </c>
      <c r="CS13" s="1"/>
      <c r="CT13" s="1"/>
      <c r="CU13" s="1"/>
      <c r="CV13" s="1"/>
      <c r="CW13" s="1"/>
      <c r="CX13" s="1"/>
      <c r="CY13" s="1"/>
      <c r="CZ13" s="1"/>
      <c r="DA13" s="1"/>
      <c r="DB13" s="1"/>
      <c r="DC13" s="1"/>
      <c r="DD13" s="1">
        <v>39295.25</v>
      </c>
      <c r="DE13" s="1"/>
      <c r="DF13" s="1"/>
      <c r="DG13" s="1"/>
      <c r="DH13" s="1">
        <v>39287.25</v>
      </c>
      <c r="DI13" s="1"/>
      <c r="DJ13" s="1"/>
      <c r="DK13" s="1"/>
      <c r="DL13" s="1"/>
      <c r="DM13" s="1"/>
      <c r="DN13" s="1"/>
      <c r="DO13" s="1"/>
      <c r="DP13" s="1"/>
      <c r="DQ13" s="1"/>
      <c r="DR13" s="1"/>
      <c r="DS13" s="1"/>
      <c r="DT13" s="1"/>
      <c r="DU13" s="1"/>
      <c r="DV13" s="1"/>
      <c r="DW13" s="1">
        <v>39304.25</v>
      </c>
      <c r="DX13" s="1"/>
      <c r="DY13" s="1"/>
      <c r="DZ13" s="1"/>
      <c r="EA13" s="1"/>
      <c r="EB13" s="1"/>
      <c r="EC13" s="1"/>
      <c r="ED13" s="1"/>
      <c r="EE13" s="1"/>
      <c r="EF13" s="1"/>
      <c r="EG13" s="1"/>
      <c r="EH13" s="1"/>
      <c r="EI13" s="1"/>
      <c r="EJ13" s="1"/>
      <c r="EK13" s="1">
        <v>39317.25</v>
      </c>
      <c r="EL13" s="1"/>
      <c r="EM13" s="1"/>
      <c r="EN13" s="1"/>
      <c r="EO13" s="1"/>
      <c r="EP13" s="1"/>
      <c r="EQ13" s="1"/>
      <c r="ER13" s="1"/>
      <c r="ES13" s="1"/>
      <c r="ET13" s="1"/>
      <c r="EU13" s="1"/>
      <c r="EV13" s="1"/>
      <c r="EW13" s="1"/>
      <c r="EX13" s="1"/>
      <c r="EY13" s="1">
        <v>39345.25</v>
      </c>
      <c r="EZ13" s="1"/>
      <c r="FA13" s="1"/>
      <c r="FB13" s="1"/>
      <c r="FC13" s="1"/>
      <c r="FD13" s="1"/>
      <c r="FE13" s="1"/>
      <c r="FF13" s="1"/>
      <c r="FG13" s="1">
        <v>39345.25</v>
      </c>
      <c r="FH13" s="1"/>
      <c r="FI13" s="1"/>
      <c r="FJ13" s="1"/>
      <c r="FK13" s="1"/>
      <c r="FL13" s="1"/>
      <c r="FM13" s="1"/>
      <c r="FN13" s="1"/>
      <c r="FO13" s="1"/>
      <c r="FP13" s="1"/>
      <c r="FQ13" s="1"/>
      <c r="FR13" s="1"/>
      <c r="FS13" s="1">
        <v>39347.25</v>
      </c>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row>
    <row r="14" spans="1:216" x14ac:dyDescent="0.3">
      <c r="A14" s="3" t="str">
        <f>HYPERLINK("https://hpr-rps.hres.ca/reg-content/summary-basis-decision-detailOne.php?lang=en&amp;linkID=SBD00012", "Avamys TM")</f>
        <v>Avamys TM</v>
      </c>
      <c r="B14" s="1" t="s">
        <v>112</v>
      </c>
      <c r="C14" s="1" t="s">
        <v>96</v>
      </c>
      <c r="D14" s="1" t="s">
        <v>113</v>
      </c>
      <c r="E14" s="1">
        <v>38854.25</v>
      </c>
      <c r="F14" s="1"/>
      <c r="G14" s="1"/>
      <c r="H14" s="1">
        <v>38922.25</v>
      </c>
      <c r="I14" s="1"/>
      <c r="J14" s="1"/>
      <c r="K14" s="1"/>
      <c r="L14" s="1"/>
      <c r="M14" s="1"/>
      <c r="N14" s="1"/>
      <c r="O14" s="1"/>
      <c r="P14" s="1"/>
      <c r="Q14" s="1"/>
      <c r="R14" s="1"/>
      <c r="S14" s="1"/>
      <c r="T14" s="1"/>
      <c r="U14" s="1"/>
      <c r="V14" s="1"/>
      <c r="W14" s="1"/>
      <c r="X14" s="1"/>
      <c r="Y14" s="1"/>
      <c r="Z14" s="1">
        <v>38968.25</v>
      </c>
      <c r="AA14" s="1"/>
      <c r="AB14" s="1"/>
      <c r="AC14" s="1">
        <v>38972.25</v>
      </c>
      <c r="AD14" s="1"/>
      <c r="AE14" s="1"/>
      <c r="AF14" s="1">
        <v>39010.25</v>
      </c>
      <c r="AG14" s="1"/>
      <c r="AH14" s="1"/>
      <c r="AI14" s="1"/>
      <c r="AJ14" s="1"/>
      <c r="AK14" s="1"/>
      <c r="AL14" s="1"/>
      <c r="AM14" s="1"/>
      <c r="AN14" s="1"/>
      <c r="AO14" s="1"/>
      <c r="AP14" s="1"/>
      <c r="AQ14" s="1"/>
      <c r="AR14" s="1">
        <v>39304.25</v>
      </c>
      <c r="AS14" s="1"/>
      <c r="AT14" s="1"/>
      <c r="AU14" s="1"/>
      <c r="AV14" s="1">
        <v>39304.25</v>
      </c>
      <c r="AW14" s="1"/>
      <c r="AX14" s="1"/>
      <c r="AY14" s="1"/>
      <c r="AZ14" s="1">
        <v>39304.25</v>
      </c>
      <c r="BA14" s="1"/>
      <c r="BB14" s="1"/>
      <c r="BC14" s="1"/>
      <c r="BD14" s="1"/>
      <c r="BE14" s="1"/>
      <c r="BF14" s="1"/>
      <c r="BG14" s="1"/>
      <c r="BH14" s="1"/>
      <c r="BI14" s="1"/>
      <c r="BJ14" s="1"/>
      <c r="BK14" s="1"/>
      <c r="BL14" s="1"/>
      <c r="BM14" s="1">
        <v>39308.25</v>
      </c>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row>
    <row r="15" spans="1:216" x14ac:dyDescent="0.3">
      <c r="A15" s="3" t="str">
        <f>HYPERLINK("https://hpr-rps.hres.ca/reg-content/summary-basis-decision-detailOne.php?lang=en&amp;linkID=SBD00013", "Avastin ®")</f>
        <v>Avastin ®</v>
      </c>
      <c r="B15" s="1" t="s">
        <v>114</v>
      </c>
      <c r="C15" s="1" t="s">
        <v>84</v>
      </c>
      <c r="D15" s="1" t="s">
        <v>115</v>
      </c>
      <c r="E15" s="1">
        <v>37971.25</v>
      </c>
      <c r="F15" s="1"/>
      <c r="G15" s="1"/>
      <c r="H15" s="1"/>
      <c r="I15" s="1"/>
      <c r="J15" s="1"/>
      <c r="K15" s="1"/>
      <c r="L15" s="1"/>
      <c r="M15" s="1"/>
      <c r="N15" s="1">
        <v>37977.25</v>
      </c>
      <c r="O15" s="1"/>
      <c r="P15" s="1"/>
      <c r="Q15" s="1"/>
      <c r="R15" s="1"/>
      <c r="S15" s="1">
        <v>37994.25</v>
      </c>
      <c r="T15" s="1"/>
      <c r="U15" s="1"/>
      <c r="V15" s="1">
        <v>38013.25</v>
      </c>
      <c r="W15" s="1"/>
      <c r="X15" s="1"/>
      <c r="Y15" s="1"/>
      <c r="Z15" s="1">
        <v>38041.25</v>
      </c>
      <c r="AA15" s="1"/>
      <c r="AB15" s="1"/>
      <c r="AC15" s="1">
        <v>38062.25</v>
      </c>
      <c r="AD15" s="1"/>
      <c r="AE15" s="1"/>
      <c r="AF15" s="1">
        <v>38075.291666666657</v>
      </c>
      <c r="AG15" s="1"/>
      <c r="AH15" s="1"/>
      <c r="AI15" s="1"/>
      <c r="AJ15" s="1"/>
      <c r="AK15" s="1"/>
      <c r="AL15" s="1"/>
      <c r="AM15" s="1"/>
      <c r="AN15" s="1"/>
      <c r="AO15" s="1">
        <v>38306.25</v>
      </c>
      <c r="AP15" s="1"/>
      <c r="AQ15" s="1"/>
      <c r="AR15" s="1">
        <v>38593.25</v>
      </c>
      <c r="AS15" s="1"/>
      <c r="AT15" s="1"/>
      <c r="AU15" s="1"/>
      <c r="AV15" s="1">
        <v>38524.25</v>
      </c>
      <c r="AW15" s="1"/>
      <c r="AX15" s="1"/>
      <c r="AY15" s="1"/>
      <c r="AZ15" s="1">
        <v>38602.25</v>
      </c>
      <c r="BA15" s="1"/>
      <c r="BB15" s="1"/>
      <c r="BC15" s="1"/>
      <c r="BD15" s="1"/>
      <c r="BE15" s="1"/>
      <c r="BF15" s="1"/>
      <c r="BG15" s="1"/>
      <c r="BH15" s="1"/>
      <c r="BI15" s="1"/>
      <c r="BJ15" s="1"/>
      <c r="BK15" s="1"/>
      <c r="BL15" s="1"/>
      <c r="BM15" s="1">
        <v>38604.25</v>
      </c>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row>
    <row r="16" spans="1:216" x14ac:dyDescent="0.3">
      <c r="A16" s="3" t="str">
        <f>HYPERLINK("https://hpr-rps.hres.ca/reg-content/summary-basis-decision-detailOne.php?lang=en&amp;linkID=SBD00014", "Azilect ®")</f>
        <v>Azilect ®</v>
      </c>
      <c r="B16" s="1" t="s">
        <v>116</v>
      </c>
      <c r="C16" s="1" t="s">
        <v>117</v>
      </c>
      <c r="D16" s="1" t="s">
        <v>118</v>
      </c>
      <c r="E16" s="1"/>
      <c r="F16" s="1"/>
      <c r="G16" s="1"/>
      <c r="H16" s="1"/>
      <c r="I16" s="1"/>
      <c r="J16" s="1"/>
      <c r="K16" s="1"/>
      <c r="L16" s="1"/>
      <c r="M16" s="1"/>
      <c r="N16" s="1"/>
      <c r="O16" s="1"/>
      <c r="P16" s="1"/>
      <c r="Q16" s="1"/>
      <c r="R16" s="1"/>
      <c r="S16" s="1"/>
      <c r="T16" s="1"/>
      <c r="U16" s="1"/>
      <c r="V16" s="1"/>
      <c r="W16" s="1"/>
      <c r="X16" s="1"/>
      <c r="Y16" s="1"/>
      <c r="Z16" s="1">
        <v>37928.25</v>
      </c>
      <c r="AA16" s="1"/>
      <c r="AB16" s="1"/>
      <c r="AC16" s="1">
        <v>37945.25</v>
      </c>
      <c r="AD16" s="1"/>
      <c r="AE16" s="1"/>
      <c r="AF16" s="1">
        <v>37951.25</v>
      </c>
      <c r="AG16" s="1"/>
      <c r="AH16" s="1"/>
      <c r="AI16" s="1"/>
      <c r="AJ16" s="1"/>
      <c r="AK16" s="1"/>
      <c r="AL16" s="1"/>
      <c r="AM16" s="1"/>
      <c r="AN16" s="1"/>
      <c r="AO16" s="1"/>
      <c r="AP16" s="1"/>
      <c r="AQ16" s="1"/>
      <c r="AR16" s="1"/>
      <c r="AS16" s="1"/>
      <c r="AT16" s="1"/>
      <c r="AU16" s="1"/>
      <c r="AV16" s="1">
        <v>38253.25</v>
      </c>
      <c r="AW16" s="1"/>
      <c r="AX16" s="1"/>
      <c r="AY16" s="1"/>
      <c r="AZ16" s="1">
        <v>38343.25</v>
      </c>
      <c r="BA16" s="1"/>
      <c r="BB16" s="1"/>
      <c r="BC16" s="1"/>
      <c r="BD16" s="1"/>
      <c r="BE16" s="1"/>
      <c r="BF16" s="1"/>
      <c r="BG16" s="1"/>
      <c r="BH16" s="1"/>
      <c r="BI16" s="1"/>
      <c r="BJ16" s="1"/>
      <c r="BK16" s="1"/>
      <c r="BL16" s="1"/>
      <c r="BM16" s="1"/>
      <c r="BN16" s="1"/>
      <c r="BO16" s="1"/>
      <c r="BP16" s="1"/>
      <c r="BQ16" s="1"/>
      <c r="BR16" s="1"/>
      <c r="BS16" s="1"/>
      <c r="BT16" s="1">
        <v>38345.25</v>
      </c>
      <c r="BU16" s="1"/>
      <c r="BV16" s="1"/>
      <c r="BW16" s="1"/>
      <c r="BX16" s="1"/>
      <c r="BY16" s="1">
        <v>38457.25</v>
      </c>
      <c r="BZ16" s="1"/>
      <c r="CA16" s="1"/>
      <c r="CB16" s="1"/>
      <c r="CC16" s="1"/>
      <c r="CD16" s="1"/>
      <c r="CE16" s="1"/>
      <c r="CF16" s="1"/>
      <c r="CG16" s="1"/>
      <c r="CH16" s="1"/>
      <c r="CI16" s="1"/>
      <c r="CJ16" s="1"/>
      <c r="CK16" s="1"/>
      <c r="CL16" s="1"/>
      <c r="CM16" s="1"/>
      <c r="CN16" s="1"/>
      <c r="CO16" s="1"/>
      <c r="CP16" s="1"/>
      <c r="CQ16" s="1"/>
      <c r="CR16" s="1">
        <v>38488.25</v>
      </c>
      <c r="CS16" s="1"/>
      <c r="CT16" s="1"/>
      <c r="CU16" s="1"/>
      <c r="CV16" s="1"/>
      <c r="CW16" s="1"/>
      <c r="CX16" s="1"/>
      <c r="CY16" s="1"/>
      <c r="CZ16" s="1"/>
      <c r="DA16" s="1"/>
      <c r="DB16" s="1"/>
      <c r="DC16" s="1"/>
      <c r="DD16" s="1"/>
      <c r="DE16" s="1"/>
      <c r="DF16" s="1"/>
      <c r="DG16" s="1"/>
      <c r="DH16" s="1"/>
      <c r="DI16" s="1"/>
      <c r="DJ16" s="1"/>
      <c r="DK16" s="1"/>
      <c r="DL16" s="1">
        <v>38527.25</v>
      </c>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v>38636.25</v>
      </c>
      <c r="ES16" s="1"/>
      <c r="ET16" s="1"/>
      <c r="EU16" s="1"/>
      <c r="EV16" s="1"/>
      <c r="EW16" s="1"/>
      <c r="EX16" s="1"/>
      <c r="EY16" s="1"/>
      <c r="EZ16" s="1"/>
      <c r="FA16" s="1"/>
      <c r="FB16" s="1"/>
      <c r="FC16" s="1"/>
      <c r="FD16" s="1">
        <v>38687.25</v>
      </c>
      <c r="FE16" s="1"/>
      <c r="FF16" s="1"/>
      <c r="FG16" s="1"/>
      <c r="FH16" s="1"/>
      <c r="FI16" s="1"/>
      <c r="FJ16" s="1"/>
      <c r="FK16" s="1"/>
      <c r="FL16" s="1"/>
      <c r="FM16" s="1"/>
      <c r="FN16" s="1"/>
      <c r="FO16" s="1"/>
      <c r="FP16" s="1"/>
      <c r="FQ16" s="1"/>
      <c r="FR16" s="1"/>
      <c r="FS16" s="1"/>
      <c r="FT16" s="1">
        <v>38855.25</v>
      </c>
      <c r="FU16" s="1"/>
      <c r="FV16" s="1">
        <v>38896.25</v>
      </c>
      <c r="FW16" s="1"/>
      <c r="FX16" s="1">
        <v>38938.25</v>
      </c>
      <c r="FY16" s="1"/>
      <c r="FZ16" s="1"/>
      <c r="GA16" s="1"/>
      <c r="GB16" s="1"/>
      <c r="GC16" s="1">
        <v>38937.25</v>
      </c>
      <c r="GD16" s="1"/>
      <c r="GE16" s="1"/>
      <c r="GF16" s="1"/>
      <c r="GG16" s="1"/>
      <c r="GH16" s="1"/>
      <c r="GI16" s="1"/>
      <c r="GJ16" s="1"/>
      <c r="GK16" s="1">
        <v>38946.25</v>
      </c>
      <c r="GL16" s="1"/>
      <c r="GM16" s="1"/>
      <c r="GN16" s="1"/>
      <c r="GO16" s="1"/>
      <c r="GP16" s="1"/>
      <c r="GQ16" s="1"/>
      <c r="GR16" s="1"/>
      <c r="GS16" s="1"/>
      <c r="GT16" s="1"/>
      <c r="GU16" s="1"/>
      <c r="GV16" s="1"/>
      <c r="GW16" s="1"/>
      <c r="GX16" s="1"/>
      <c r="GY16" s="1"/>
      <c r="GZ16" s="1"/>
      <c r="HA16" s="1"/>
      <c r="HB16" s="1"/>
      <c r="HC16" s="1"/>
      <c r="HD16" s="1"/>
      <c r="HE16" s="1"/>
      <c r="HF16" s="1"/>
      <c r="HG16" s="1"/>
      <c r="HH16" s="1"/>
    </row>
    <row r="17" spans="1:216" x14ac:dyDescent="0.3">
      <c r="A17" s="3" t="str">
        <f>HYPERLINK("https://hpr-rps.hres.ca/reg-content/summary-basis-decision-detailOne.php?lang=en&amp;linkID=SBD00015", "Banzel TM")</f>
        <v>Banzel TM</v>
      </c>
      <c r="B17" s="1" t="s">
        <v>119</v>
      </c>
      <c r="C17" s="1" t="s">
        <v>90</v>
      </c>
      <c r="D17" s="1" t="s">
        <v>120</v>
      </c>
      <c r="E17" s="1">
        <v>40211.25</v>
      </c>
      <c r="F17" s="1"/>
      <c r="G17" s="1"/>
      <c r="H17" s="1">
        <v>40365.25</v>
      </c>
      <c r="I17" s="1"/>
      <c r="J17" s="1"/>
      <c r="K17" s="1"/>
      <c r="L17" s="1"/>
      <c r="M17" s="1"/>
      <c r="N17" s="1"/>
      <c r="O17" s="1"/>
      <c r="P17" s="1"/>
      <c r="Q17" s="1"/>
      <c r="R17" s="1"/>
      <c r="S17" s="1"/>
      <c r="T17" s="1"/>
      <c r="U17" s="1"/>
      <c r="V17" s="1"/>
      <c r="W17" s="1"/>
      <c r="X17" s="1"/>
      <c r="Y17" s="1"/>
      <c r="Z17" s="1"/>
      <c r="AA17" s="1"/>
      <c r="AB17" s="1"/>
      <c r="AC17" s="1"/>
      <c r="AD17" s="1"/>
      <c r="AE17" s="1"/>
      <c r="AF17" s="1">
        <v>40415.25</v>
      </c>
      <c r="AG17" s="1"/>
      <c r="AH17" s="1"/>
      <c r="AI17" s="1"/>
      <c r="AJ17" s="1"/>
      <c r="AK17" s="1"/>
      <c r="AL17" s="1"/>
      <c r="AM17" s="1"/>
      <c r="AN17" s="1"/>
      <c r="AO17" s="1"/>
      <c r="AP17" s="1"/>
      <c r="AQ17" s="1"/>
      <c r="AR17" s="1">
        <v>40714.25</v>
      </c>
      <c r="AS17" s="1">
        <v>40702.25</v>
      </c>
      <c r="AT17" s="1"/>
      <c r="AU17" s="1"/>
      <c r="AV17" s="1">
        <v>40708.25</v>
      </c>
      <c r="AW17" s="1"/>
      <c r="AX17" s="1"/>
      <c r="AY17" s="1"/>
      <c r="AZ17" s="1">
        <v>40709.25</v>
      </c>
      <c r="BA17" s="1"/>
      <c r="BB17" s="1"/>
      <c r="BC17" s="1"/>
      <c r="BD17" s="1"/>
      <c r="BE17" s="1"/>
      <c r="BF17" s="1"/>
      <c r="BG17" s="1"/>
      <c r="BH17" s="1"/>
      <c r="BI17" s="1"/>
      <c r="BJ17" s="1"/>
      <c r="BK17" s="1"/>
      <c r="BL17" s="1"/>
      <c r="BM17" s="1">
        <v>40716.25</v>
      </c>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row>
    <row r="18" spans="1:216" x14ac:dyDescent="0.3">
      <c r="A18" s="3" t="str">
        <f>HYPERLINK("https://hpr-rps.hres.ca/reg-content/summary-basis-decision-detailOne.php?lang=en&amp;linkID=SBD00016", "Baraclude")</f>
        <v>Baraclude</v>
      </c>
      <c r="B18" s="1" t="s">
        <v>121</v>
      </c>
      <c r="C18" s="1" t="s">
        <v>81</v>
      </c>
      <c r="D18" s="1" t="s">
        <v>122</v>
      </c>
      <c r="E18" s="1"/>
      <c r="F18" s="1"/>
      <c r="G18" s="1"/>
      <c r="H18" s="1">
        <v>38666.25</v>
      </c>
      <c r="I18" s="1"/>
      <c r="J18" s="1"/>
      <c r="K18" s="1"/>
      <c r="L18" s="1"/>
      <c r="M18" s="1"/>
      <c r="N18" s="1"/>
      <c r="O18" s="1"/>
      <c r="P18" s="1"/>
      <c r="Q18" s="1"/>
      <c r="R18" s="1"/>
      <c r="S18" s="1"/>
      <c r="T18" s="1"/>
      <c r="U18" s="1"/>
      <c r="V18" s="1"/>
      <c r="W18" s="1"/>
      <c r="X18" s="1"/>
      <c r="Y18" s="1"/>
      <c r="Z18" s="1"/>
      <c r="AA18" s="1"/>
      <c r="AB18" s="1"/>
      <c r="AC18" s="1"/>
      <c r="AD18" s="1"/>
      <c r="AE18" s="1"/>
      <c r="AF18" s="1">
        <v>38705.25</v>
      </c>
      <c r="AG18" s="1"/>
      <c r="AH18" s="1"/>
      <c r="AI18" s="1"/>
      <c r="AJ18" s="1"/>
      <c r="AK18" s="1"/>
      <c r="AL18" s="1"/>
      <c r="AM18" s="1"/>
      <c r="AN18" s="1"/>
      <c r="AO18" s="1"/>
      <c r="AP18" s="1"/>
      <c r="AQ18" s="1"/>
      <c r="AR18" s="1">
        <v>38884.25</v>
      </c>
      <c r="AS18" s="1">
        <v>38882.25</v>
      </c>
      <c r="AT18" s="1"/>
      <c r="AU18" s="1"/>
      <c r="AV18" s="1">
        <v>38882.25</v>
      </c>
      <c r="AW18" s="1"/>
      <c r="AX18" s="1"/>
      <c r="AY18" s="1"/>
      <c r="AZ18" s="1">
        <v>38883.25</v>
      </c>
      <c r="BA18" s="1"/>
      <c r="BB18" s="1"/>
      <c r="BC18" s="1"/>
      <c r="BD18" s="1"/>
      <c r="BE18" s="1"/>
      <c r="BF18" s="1"/>
      <c r="BG18" s="1"/>
      <c r="BH18" s="1"/>
      <c r="BI18" s="1"/>
      <c r="BJ18" s="1"/>
      <c r="BK18" s="1"/>
      <c r="BL18" s="1"/>
      <c r="BM18" s="1">
        <v>38884.25</v>
      </c>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row>
    <row r="19" spans="1:216" x14ac:dyDescent="0.3">
      <c r="A19" s="3" t="str">
        <f>HYPERLINK("https://hpr-rps.hres.ca/reg-content/summary-basis-decision-detailOne.php?lang=en&amp;linkID=SBD00017", "Benlysta TM")</f>
        <v>Benlysta TM</v>
      </c>
      <c r="B19" s="1" t="s">
        <v>123</v>
      </c>
      <c r="C19" s="1" t="s">
        <v>96</v>
      </c>
      <c r="D19" s="1" t="s">
        <v>124</v>
      </c>
      <c r="E19" s="1">
        <v>40275.25</v>
      </c>
      <c r="F19" s="1"/>
      <c r="G19" s="1"/>
      <c r="H19" s="1"/>
      <c r="I19" s="1"/>
      <c r="J19" s="1"/>
      <c r="K19" s="1"/>
      <c r="L19" s="1"/>
      <c r="M19" s="1"/>
      <c r="N19" s="1">
        <v>40338.25</v>
      </c>
      <c r="O19" s="1"/>
      <c r="P19" s="1"/>
      <c r="Q19" s="1"/>
      <c r="R19" s="1"/>
      <c r="S19" s="1"/>
      <c r="T19" s="1">
        <v>40366.25</v>
      </c>
      <c r="U19" s="1"/>
      <c r="V19" s="1">
        <v>40374.25</v>
      </c>
      <c r="W19" s="1"/>
      <c r="X19" s="1"/>
      <c r="Y19" s="1"/>
      <c r="Z19" s="1"/>
      <c r="AA19" s="1"/>
      <c r="AB19" s="1"/>
      <c r="AC19" s="1"/>
      <c r="AD19" s="1"/>
      <c r="AE19" s="1"/>
      <c r="AF19" s="1">
        <v>40431.25</v>
      </c>
      <c r="AG19" s="1"/>
      <c r="AH19" s="1"/>
      <c r="AI19" s="1"/>
      <c r="AJ19" s="1"/>
      <c r="AK19" s="1"/>
      <c r="AL19" s="1"/>
      <c r="AM19" s="1"/>
      <c r="AN19" s="1"/>
      <c r="AO19" s="1">
        <v>40637.25</v>
      </c>
      <c r="AP19" s="1"/>
      <c r="AQ19" s="1"/>
      <c r="AR19" s="1">
        <v>40709.25</v>
      </c>
      <c r="AS19" s="1"/>
      <c r="AT19" s="1"/>
      <c r="AU19" s="1"/>
      <c r="AV19" s="1">
        <v>40730.25</v>
      </c>
      <c r="AW19" s="1"/>
      <c r="AX19" s="1"/>
      <c r="AY19" s="1"/>
      <c r="AZ19" s="1">
        <v>40729.25</v>
      </c>
      <c r="BA19" s="1"/>
      <c r="BB19" s="1"/>
      <c r="BC19" s="1"/>
      <c r="BD19" s="1"/>
      <c r="BE19" s="1"/>
      <c r="BF19" s="1"/>
      <c r="BG19" s="1"/>
      <c r="BH19" s="1"/>
      <c r="BI19" s="1"/>
      <c r="BJ19" s="1"/>
      <c r="BK19" s="1"/>
      <c r="BL19" s="1"/>
      <c r="BM19" s="1">
        <v>40730.25</v>
      </c>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row>
    <row r="20" spans="1:216" x14ac:dyDescent="0.3">
      <c r="A20" s="3" t="str">
        <f>HYPERLINK("https://hpr-rps.hres.ca/reg-content/summary-basis-decision-detailOne.php?lang=en&amp;linkID=SBD00018", "Berinert ®")</f>
        <v>Berinert ®</v>
      </c>
      <c r="B20" s="1" t="s">
        <v>125</v>
      </c>
      <c r="C20" s="1" t="s">
        <v>126</v>
      </c>
      <c r="D20" s="1" t="s">
        <v>127</v>
      </c>
      <c r="E20" s="1">
        <v>39524.208333333343</v>
      </c>
      <c r="F20" s="1"/>
      <c r="G20" s="1"/>
      <c r="H20" s="1">
        <v>39545.25</v>
      </c>
      <c r="I20" s="1"/>
      <c r="J20" s="1"/>
      <c r="K20" s="1"/>
      <c r="L20" s="1"/>
      <c r="M20" s="1"/>
      <c r="N20" s="1"/>
      <c r="O20" s="1"/>
      <c r="P20" s="1"/>
      <c r="Q20" s="1"/>
      <c r="R20" s="1"/>
      <c r="S20" s="1"/>
      <c r="T20" s="1"/>
      <c r="U20" s="1"/>
      <c r="V20" s="1"/>
      <c r="W20" s="1"/>
      <c r="X20" s="1"/>
      <c r="Y20" s="1"/>
      <c r="Z20" s="1"/>
      <c r="AA20" s="1"/>
      <c r="AB20" s="1"/>
      <c r="AC20" s="1"/>
      <c r="AD20" s="1"/>
      <c r="AE20" s="1"/>
      <c r="AF20" s="1">
        <v>39597.25</v>
      </c>
      <c r="AG20" s="1"/>
      <c r="AH20" s="1"/>
      <c r="AI20" s="1"/>
      <c r="AJ20" s="1"/>
      <c r="AK20" s="1"/>
      <c r="AL20" s="1"/>
      <c r="AM20" s="1"/>
      <c r="AN20" s="1"/>
      <c r="AO20" s="1"/>
      <c r="AP20" s="1"/>
      <c r="AQ20" s="1"/>
      <c r="AR20" s="1"/>
      <c r="AS20" s="1"/>
      <c r="AT20" s="1"/>
      <c r="AU20" s="1"/>
      <c r="AV20" s="1">
        <v>39883.208333333343</v>
      </c>
      <c r="AW20" s="1"/>
      <c r="AX20" s="1"/>
      <c r="AY20" s="1"/>
      <c r="AZ20" s="1">
        <v>39897.208333333343</v>
      </c>
      <c r="BA20" s="1"/>
      <c r="BB20" s="1"/>
      <c r="BC20" s="1"/>
      <c r="BD20" s="1"/>
      <c r="BE20" s="1"/>
      <c r="BF20" s="1"/>
      <c r="BG20" s="1"/>
      <c r="BH20" s="1"/>
      <c r="BI20" s="1"/>
      <c r="BJ20" s="1"/>
      <c r="BK20" s="1"/>
      <c r="BL20" s="1"/>
      <c r="BM20" s="1"/>
      <c r="BN20" s="1"/>
      <c r="BO20" s="1"/>
      <c r="BP20" s="1"/>
      <c r="BQ20" s="1"/>
      <c r="BR20" s="1"/>
      <c r="BS20" s="1"/>
      <c r="BT20" s="1">
        <v>39897.208333333343</v>
      </c>
      <c r="BU20" s="1"/>
      <c r="BV20" s="1"/>
      <c r="BW20" s="1"/>
      <c r="BX20" s="1"/>
      <c r="BY20" s="1">
        <v>39983.25</v>
      </c>
      <c r="BZ20" s="1"/>
      <c r="CA20" s="1"/>
      <c r="CB20" s="1"/>
      <c r="CC20" s="1"/>
      <c r="CD20" s="1"/>
      <c r="CE20" s="1"/>
      <c r="CF20" s="1"/>
      <c r="CG20" s="1"/>
      <c r="CH20" s="1"/>
      <c r="CI20" s="1"/>
      <c r="CJ20" s="1"/>
      <c r="CK20" s="1"/>
      <c r="CL20" s="1"/>
      <c r="CM20" s="1"/>
      <c r="CN20" s="1"/>
      <c r="CO20" s="1"/>
      <c r="CP20" s="1"/>
      <c r="CQ20" s="1"/>
      <c r="CR20" s="1">
        <v>40023.25</v>
      </c>
      <c r="CS20" s="1"/>
      <c r="CT20" s="1"/>
      <c r="CU20" s="1"/>
      <c r="CV20" s="1"/>
      <c r="CW20" s="1"/>
      <c r="CX20" s="1"/>
      <c r="CY20" s="1"/>
      <c r="CZ20" s="1"/>
      <c r="DA20" s="1"/>
      <c r="DB20" s="1"/>
      <c r="DC20" s="1"/>
      <c r="DD20" s="1">
        <v>40326.25</v>
      </c>
      <c r="DE20" s="1"/>
      <c r="DF20" s="1"/>
      <c r="DG20" s="1"/>
      <c r="DH20" s="1">
        <v>40247.25</v>
      </c>
      <c r="DI20" s="1"/>
      <c r="DJ20" s="1"/>
      <c r="DK20" s="1"/>
      <c r="DL20" s="1">
        <v>40326.25</v>
      </c>
      <c r="DM20" s="1"/>
      <c r="DN20" s="1"/>
      <c r="DO20" s="1"/>
      <c r="DP20" s="1"/>
      <c r="DQ20" s="1"/>
      <c r="DR20" s="1"/>
      <c r="DS20" s="1"/>
      <c r="DT20" s="1"/>
      <c r="DU20" s="1"/>
      <c r="DV20" s="1"/>
      <c r="DW20" s="1"/>
      <c r="DX20" s="1"/>
      <c r="DY20" s="1">
        <v>40329.25</v>
      </c>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row>
    <row r="21" spans="1:216" x14ac:dyDescent="0.3">
      <c r="A21" s="3" t="str">
        <f>HYPERLINK("https://hpr-rps.hres.ca/reg-content/summary-basis-decision-detailOne.php?lang=en&amp;linkID=SBD00019", "Besivance TM")</f>
        <v>Besivance TM</v>
      </c>
      <c r="B21" s="1" t="s">
        <v>128</v>
      </c>
      <c r="C21" s="1" t="s">
        <v>129</v>
      </c>
      <c r="D21" s="1" t="s">
        <v>130</v>
      </c>
      <c r="E21" s="1">
        <v>39352.25</v>
      </c>
      <c r="F21" s="1"/>
      <c r="G21" s="1"/>
      <c r="H21" s="1">
        <v>39755.25</v>
      </c>
      <c r="I21" s="1"/>
      <c r="J21" s="1"/>
      <c r="K21" s="1"/>
      <c r="L21" s="1"/>
      <c r="M21" s="1"/>
      <c r="N21" s="1"/>
      <c r="O21" s="1"/>
      <c r="P21" s="1"/>
      <c r="Q21" s="1"/>
      <c r="R21" s="1"/>
      <c r="S21" s="1"/>
      <c r="T21" s="1"/>
      <c r="U21" s="1"/>
      <c r="V21" s="1"/>
      <c r="W21" s="1"/>
      <c r="X21" s="1"/>
      <c r="Y21" s="1"/>
      <c r="Z21" s="1"/>
      <c r="AA21" s="1"/>
      <c r="AB21" s="1"/>
      <c r="AC21" s="1"/>
      <c r="AD21" s="1"/>
      <c r="AE21" s="1"/>
      <c r="AF21" s="1">
        <v>39811.25</v>
      </c>
      <c r="AG21" s="1"/>
      <c r="AH21" s="1"/>
      <c r="AI21" s="1"/>
      <c r="AJ21" s="1"/>
      <c r="AK21" s="1"/>
      <c r="AL21" s="1"/>
      <c r="AM21" s="1"/>
      <c r="AN21" s="1"/>
      <c r="AO21" s="1"/>
      <c r="AP21" s="1"/>
      <c r="AQ21" s="1"/>
      <c r="AR21" s="1">
        <v>40109.25</v>
      </c>
      <c r="AS21" s="1"/>
      <c r="AT21" s="1"/>
      <c r="AU21" s="1"/>
      <c r="AV21" s="1">
        <v>40107.25</v>
      </c>
      <c r="AW21" s="1"/>
      <c r="AX21" s="1"/>
      <c r="AY21" s="1"/>
      <c r="AZ21" s="1">
        <v>40109.25</v>
      </c>
      <c r="BA21" s="1"/>
      <c r="BB21" s="1"/>
      <c r="BC21" s="1"/>
      <c r="BD21" s="1"/>
      <c r="BE21" s="1"/>
      <c r="BF21" s="1"/>
      <c r="BG21" s="1"/>
      <c r="BH21" s="1"/>
      <c r="BI21" s="1"/>
      <c r="BJ21" s="1"/>
      <c r="BK21" s="1"/>
      <c r="BL21" s="1"/>
      <c r="BM21" s="1">
        <v>40109.25</v>
      </c>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row>
    <row r="22" spans="1:216" x14ac:dyDescent="0.3">
      <c r="A22" s="3" t="str">
        <f>HYPERLINK("https://hpr-rps.hres.ca/reg-content/summary-basis-decision-detailOne.php?lang=en&amp;linkID=SBD00020", "Bexxar TM")</f>
        <v>Bexxar TM</v>
      </c>
      <c r="B22" s="1" t="s">
        <v>131</v>
      </c>
      <c r="C22" s="1" t="s">
        <v>96</v>
      </c>
      <c r="D22" s="1" t="s">
        <v>132</v>
      </c>
      <c r="E22" s="1">
        <v>37687.25</v>
      </c>
      <c r="F22" s="1"/>
      <c r="G22" s="1"/>
      <c r="H22" s="1"/>
      <c r="I22" s="1"/>
      <c r="J22" s="1"/>
      <c r="K22" s="1"/>
      <c r="L22" s="1"/>
      <c r="M22" s="1"/>
      <c r="N22" s="1">
        <v>37698.25</v>
      </c>
      <c r="O22" s="1"/>
      <c r="P22" s="1"/>
      <c r="Q22" s="1"/>
      <c r="R22" s="1"/>
      <c r="S22" s="1">
        <v>37725.25</v>
      </c>
      <c r="T22" s="1"/>
      <c r="U22" s="1"/>
      <c r="V22" s="1">
        <v>37762.25</v>
      </c>
      <c r="W22" s="1"/>
      <c r="X22" s="1"/>
      <c r="Y22" s="1"/>
      <c r="Z22" s="1">
        <v>37816.25</v>
      </c>
      <c r="AA22" s="1"/>
      <c r="AB22" s="1"/>
      <c r="AC22" s="1">
        <v>37832.25</v>
      </c>
      <c r="AD22" s="1">
        <v>38015.25</v>
      </c>
      <c r="AE22" s="1"/>
      <c r="AF22" s="1">
        <v>37833.25</v>
      </c>
      <c r="AG22" s="1"/>
      <c r="AH22" s="1"/>
      <c r="AI22" s="1"/>
      <c r="AJ22" s="1"/>
      <c r="AK22" s="1"/>
      <c r="AL22" s="1"/>
      <c r="AM22" s="1"/>
      <c r="AN22" s="1"/>
      <c r="AO22" s="1"/>
      <c r="AP22" s="1"/>
      <c r="AQ22" s="1"/>
      <c r="AR22" s="1">
        <v>38573.25</v>
      </c>
      <c r="AS22" s="1"/>
      <c r="AT22" s="1"/>
      <c r="AU22" s="1"/>
      <c r="AV22" s="1">
        <v>38574.25</v>
      </c>
      <c r="AW22" s="1"/>
      <c r="AX22" s="1"/>
      <c r="AY22" s="1"/>
      <c r="AZ22" s="1">
        <v>38551.25</v>
      </c>
      <c r="BA22" s="1"/>
      <c r="BB22" s="1"/>
      <c r="BC22" s="1"/>
      <c r="BD22" s="1"/>
      <c r="BE22" s="1"/>
      <c r="BF22" s="1"/>
      <c r="BG22" s="1"/>
      <c r="BH22" s="1"/>
      <c r="BI22" s="1"/>
      <c r="BJ22" s="1"/>
      <c r="BK22" s="1"/>
      <c r="BL22" s="1"/>
      <c r="BM22" s="1">
        <v>38582.25</v>
      </c>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row>
    <row r="23" spans="1:216" x14ac:dyDescent="0.3">
      <c r="A23" s="3" t="str">
        <f>HYPERLINK("https://hpr-rps.hres.ca/reg-content/summary-basis-decision-detailOne.php?lang=en&amp;linkID=SBD00027", "Cayston TM")</f>
        <v>Cayston TM</v>
      </c>
      <c r="B23" s="1" t="s">
        <v>133</v>
      </c>
      <c r="C23" s="1" t="s">
        <v>134</v>
      </c>
      <c r="D23" s="1" t="s">
        <v>135</v>
      </c>
      <c r="E23" s="1">
        <v>39283.25</v>
      </c>
      <c r="F23" s="1"/>
      <c r="G23" s="1"/>
      <c r="H23" s="1"/>
      <c r="I23" s="1"/>
      <c r="J23" s="1"/>
      <c r="K23" s="1"/>
      <c r="L23" s="1"/>
      <c r="M23" s="1"/>
      <c r="N23" s="1">
        <v>39437.25</v>
      </c>
      <c r="O23" s="1"/>
      <c r="P23" s="1"/>
      <c r="Q23" s="1"/>
      <c r="R23" s="1"/>
      <c r="S23" s="1">
        <v>39471.25</v>
      </c>
      <c r="T23" s="1"/>
      <c r="U23" s="1"/>
      <c r="V23" s="1">
        <v>39532.208333333343</v>
      </c>
      <c r="W23" s="1"/>
      <c r="X23" s="1"/>
      <c r="Y23" s="1"/>
      <c r="Z23" s="1">
        <v>39560.25</v>
      </c>
      <c r="AA23" s="1"/>
      <c r="AB23" s="1"/>
      <c r="AC23" s="1">
        <v>39568.25</v>
      </c>
      <c r="AD23" s="1"/>
      <c r="AE23" s="1"/>
      <c r="AF23" s="1">
        <v>39573.25</v>
      </c>
      <c r="AG23" s="1"/>
      <c r="AH23" s="1"/>
      <c r="AI23" s="1"/>
      <c r="AJ23" s="1"/>
      <c r="AK23" s="1"/>
      <c r="AL23" s="1"/>
      <c r="AM23" s="1"/>
      <c r="AN23" s="1"/>
      <c r="AO23" s="1"/>
      <c r="AP23" s="1"/>
      <c r="AQ23" s="1"/>
      <c r="AR23" s="1">
        <v>39751.208333333343</v>
      </c>
      <c r="AS23" s="1"/>
      <c r="AT23" s="1"/>
      <c r="AU23" s="1"/>
      <c r="AV23" s="1">
        <v>39751.208333333343</v>
      </c>
      <c r="AW23" s="1"/>
      <c r="AX23" s="1"/>
      <c r="AY23" s="1"/>
      <c r="AZ23" s="1">
        <v>39751.208333333343</v>
      </c>
      <c r="BA23" s="1"/>
      <c r="BB23" s="1"/>
      <c r="BC23" s="1"/>
      <c r="BD23" s="1"/>
      <c r="BE23" s="1"/>
      <c r="BF23" s="1"/>
      <c r="BG23" s="1"/>
      <c r="BH23" s="1"/>
      <c r="BI23" s="1"/>
      <c r="BJ23" s="1"/>
      <c r="BK23" s="1"/>
      <c r="BL23" s="1"/>
      <c r="BM23" s="1"/>
      <c r="BN23" s="1"/>
      <c r="BO23" s="1"/>
      <c r="BP23" s="1"/>
      <c r="BQ23" s="1"/>
      <c r="BR23" s="1">
        <v>39899.208333333343</v>
      </c>
      <c r="BS23" s="1"/>
      <c r="BT23" s="1">
        <v>39752.208333333343</v>
      </c>
      <c r="BU23" s="1"/>
      <c r="BV23" s="1"/>
      <c r="BW23" s="1"/>
      <c r="BX23" s="1"/>
      <c r="BY23" s="1"/>
      <c r="BZ23" s="1"/>
      <c r="CA23" s="1"/>
      <c r="CB23" s="1"/>
      <c r="CC23" s="1"/>
      <c r="CD23" s="1"/>
      <c r="CE23" s="1"/>
      <c r="CF23" s="1"/>
      <c r="CG23" s="1"/>
      <c r="CH23" s="1"/>
      <c r="CI23" s="1"/>
      <c r="CJ23" s="1"/>
      <c r="CK23" s="1"/>
      <c r="CL23" s="1"/>
      <c r="CM23" s="1"/>
      <c r="CN23" s="1"/>
      <c r="CO23" s="1"/>
      <c r="CP23" s="1"/>
      <c r="CQ23" s="1"/>
      <c r="CR23" s="1">
        <v>39924.25</v>
      </c>
      <c r="CS23" s="1"/>
      <c r="CT23" s="1"/>
      <c r="CU23" s="1"/>
      <c r="CV23" s="1"/>
      <c r="CW23" s="1"/>
      <c r="CX23" s="1"/>
      <c r="CY23" s="1"/>
      <c r="CZ23" s="1"/>
      <c r="DA23" s="1"/>
      <c r="DB23" s="1"/>
      <c r="DC23" s="1"/>
      <c r="DD23" s="1">
        <v>40007.25</v>
      </c>
      <c r="DE23" s="1"/>
      <c r="DF23" s="1"/>
      <c r="DG23" s="1"/>
      <c r="DH23" s="1">
        <v>40000.25</v>
      </c>
      <c r="DI23" s="1"/>
      <c r="DJ23" s="1"/>
      <c r="DK23" s="1"/>
      <c r="DL23" s="1">
        <v>40008.25</v>
      </c>
      <c r="DM23" s="1"/>
      <c r="DN23" s="1"/>
      <c r="DO23" s="1"/>
      <c r="DP23" s="1"/>
      <c r="DQ23" s="1"/>
      <c r="DR23" s="1"/>
      <c r="DS23" s="1"/>
      <c r="DT23" s="1"/>
      <c r="DU23" s="1"/>
      <c r="DV23" s="1"/>
      <c r="DW23" s="1">
        <v>40011.25</v>
      </c>
      <c r="DX23" s="1"/>
      <c r="DY23" s="1"/>
      <c r="DZ23" s="1"/>
      <c r="EA23" s="1"/>
      <c r="EB23" s="1"/>
      <c r="EC23" s="1"/>
      <c r="ED23" s="1"/>
      <c r="EE23" s="1"/>
      <c r="EF23" s="1"/>
      <c r="EG23" s="1"/>
      <c r="EH23" s="1"/>
      <c r="EI23" s="1"/>
      <c r="EJ23" s="1"/>
      <c r="EK23" s="1">
        <v>40037.25</v>
      </c>
      <c r="EL23" s="1"/>
      <c r="EM23" s="1"/>
      <c r="EN23" s="1"/>
      <c r="EO23" s="1"/>
      <c r="EP23" s="1"/>
      <c r="EQ23" s="1"/>
      <c r="ER23" s="1"/>
      <c r="ES23" s="1"/>
      <c r="ET23" s="1"/>
      <c r="EU23" s="1"/>
      <c r="EV23" s="1"/>
      <c r="EW23" s="1"/>
      <c r="EX23" s="1"/>
      <c r="EY23" s="1">
        <v>40060.25</v>
      </c>
      <c r="EZ23" s="1"/>
      <c r="FA23" s="1"/>
      <c r="FB23" s="1"/>
      <c r="FC23" s="1"/>
      <c r="FD23" s="1"/>
      <c r="FE23" s="1"/>
      <c r="FF23" s="1"/>
      <c r="FG23" s="1">
        <v>40065.25</v>
      </c>
      <c r="FH23" s="1"/>
      <c r="FI23" s="1"/>
      <c r="FJ23" s="1"/>
      <c r="FK23" s="1"/>
      <c r="FL23" s="1"/>
      <c r="FM23" s="1"/>
      <c r="FN23" s="1"/>
      <c r="FO23" s="1"/>
      <c r="FP23" s="1"/>
      <c r="FQ23" s="1"/>
      <c r="FR23" s="1"/>
      <c r="FS23" s="1">
        <v>40067.25</v>
      </c>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row>
    <row r="24" spans="1:216" x14ac:dyDescent="0.3">
      <c r="A24" s="3" t="str">
        <f>HYPERLINK("https://hpr-rps.hres.ca/reg-content/summary-basis-decision-detailOne.php?lang=en&amp;linkID=SBD00021", "Brilinta ®")</f>
        <v>Brilinta ®</v>
      </c>
      <c r="B24" s="1" t="s">
        <v>136</v>
      </c>
      <c r="C24" s="1" t="s">
        <v>137</v>
      </c>
      <c r="D24" s="1" t="s">
        <v>138</v>
      </c>
      <c r="E24" s="1">
        <v>40101.25</v>
      </c>
      <c r="F24" s="1"/>
      <c r="G24" s="1"/>
      <c r="H24" s="1"/>
      <c r="I24" s="1"/>
      <c r="J24" s="1"/>
      <c r="K24" s="1"/>
      <c r="L24" s="1"/>
      <c r="M24" s="1"/>
      <c r="N24" s="1">
        <v>40096.25</v>
      </c>
      <c r="O24" s="1"/>
      <c r="P24" s="1"/>
      <c r="Q24" s="1"/>
      <c r="R24" s="1"/>
      <c r="S24" s="1">
        <v>40191.25</v>
      </c>
      <c r="T24" s="1"/>
      <c r="U24" s="1"/>
      <c r="V24" s="1">
        <v>40217.25</v>
      </c>
      <c r="W24" s="1"/>
      <c r="X24" s="1"/>
      <c r="Y24" s="1"/>
      <c r="Z24" s="1"/>
      <c r="AA24" s="1"/>
      <c r="AB24" s="1"/>
      <c r="AC24" s="1"/>
      <c r="AD24" s="1"/>
      <c r="AE24" s="1"/>
      <c r="AF24" s="1">
        <v>40242.25</v>
      </c>
      <c r="AG24" s="1"/>
      <c r="AH24" s="1"/>
      <c r="AI24" s="1"/>
      <c r="AJ24" s="1"/>
      <c r="AK24" s="1"/>
      <c r="AL24" s="1"/>
      <c r="AM24" s="1"/>
      <c r="AN24" s="1"/>
      <c r="AO24" s="1"/>
      <c r="AP24" s="1"/>
      <c r="AQ24" s="1"/>
      <c r="AR24" s="1"/>
      <c r="AS24" s="1">
        <v>40369.25</v>
      </c>
      <c r="AT24" s="1"/>
      <c r="AU24" s="1"/>
      <c r="AV24" s="1">
        <v>40374.25</v>
      </c>
      <c r="AW24" s="1"/>
      <c r="AX24" s="1">
        <v>40402.25</v>
      </c>
      <c r="AY24" s="1"/>
      <c r="AZ24" s="1">
        <v>40403.25</v>
      </c>
      <c r="BA24" s="1"/>
      <c r="BB24" s="1"/>
      <c r="BC24" s="1"/>
      <c r="BD24" s="1"/>
      <c r="BE24" s="1"/>
      <c r="BF24" s="1"/>
      <c r="BG24" s="1"/>
      <c r="BH24" s="1"/>
      <c r="BI24" s="1"/>
      <c r="BJ24" s="1"/>
      <c r="BK24" s="1"/>
      <c r="BL24" s="1"/>
      <c r="BM24" s="1"/>
      <c r="BN24" s="1"/>
      <c r="BO24" s="1"/>
      <c r="BP24" s="1">
        <v>40400.25</v>
      </c>
      <c r="BQ24" s="1"/>
      <c r="BR24" s="1"/>
      <c r="BS24" s="1"/>
      <c r="BT24" s="1"/>
      <c r="BU24" s="1"/>
      <c r="BV24" s="1"/>
      <c r="BW24" s="1"/>
      <c r="BX24" s="1"/>
      <c r="BY24" s="1">
        <v>40487.208333333343</v>
      </c>
      <c r="BZ24" s="1"/>
      <c r="CA24" s="1"/>
      <c r="CB24" s="1"/>
      <c r="CC24" s="1"/>
      <c r="CD24" s="1"/>
      <c r="CE24" s="1"/>
      <c r="CF24" s="1"/>
      <c r="CG24" s="1"/>
      <c r="CH24" s="1"/>
      <c r="CI24" s="1"/>
      <c r="CJ24" s="1"/>
      <c r="CK24" s="1"/>
      <c r="CL24" s="1"/>
      <c r="CM24" s="1"/>
      <c r="CN24" s="1"/>
      <c r="CO24" s="1"/>
      <c r="CP24" s="1"/>
      <c r="CQ24" s="1"/>
      <c r="CR24" s="1">
        <v>40514.25</v>
      </c>
      <c r="CS24" s="1"/>
      <c r="CT24" s="1"/>
      <c r="CU24" s="1"/>
      <c r="CV24" s="1"/>
      <c r="CW24" s="1"/>
      <c r="CX24" s="1"/>
      <c r="CY24" s="1"/>
      <c r="CZ24" s="1"/>
      <c r="DA24" s="1"/>
      <c r="DB24" s="1"/>
      <c r="DC24" s="1"/>
      <c r="DD24" s="1">
        <v>40689.25</v>
      </c>
      <c r="DE24" s="1">
        <v>40638.25</v>
      </c>
      <c r="DF24" s="1"/>
      <c r="DG24" s="1"/>
      <c r="DH24" s="1">
        <v>40687.25</v>
      </c>
      <c r="DI24" s="1"/>
      <c r="DJ24" s="1"/>
      <c r="DK24" s="1"/>
      <c r="DL24" s="1">
        <v>40687.25</v>
      </c>
      <c r="DM24" s="1"/>
      <c r="DN24" s="1"/>
      <c r="DO24" s="1"/>
      <c r="DP24" s="1"/>
      <c r="DQ24" s="1"/>
      <c r="DR24" s="1"/>
      <c r="DS24" s="1"/>
      <c r="DT24" s="1"/>
      <c r="DU24" s="1"/>
      <c r="DV24" s="1"/>
      <c r="DW24" s="1"/>
      <c r="DX24" s="1"/>
      <c r="DY24" s="1">
        <v>40693.25</v>
      </c>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row>
    <row r="25" spans="1:216" x14ac:dyDescent="0.3">
      <c r="A25" s="3" t="str">
        <f>HYPERLINK("https://hpr-rps.hres.ca/reg-content/summary-basis-decision-detailOne.php?lang=en&amp;linkID=SBD00022", "Byetta TM")</f>
        <v>Byetta TM</v>
      </c>
      <c r="B25" s="1" t="s">
        <v>139</v>
      </c>
      <c r="C25" s="1" t="s">
        <v>140</v>
      </c>
      <c r="D25" s="1" t="s">
        <v>141</v>
      </c>
      <c r="E25" s="1">
        <v>38587.25</v>
      </c>
      <c r="F25" s="1"/>
      <c r="G25" s="1"/>
      <c r="H25" s="1"/>
      <c r="I25" s="1"/>
      <c r="J25" s="1"/>
      <c r="K25" s="1"/>
      <c r="L25" s="1"/>
      <c r="M25" s="1"/>
      <c r="N25" s="1"/>
      <c r="O25" s="1"/>
      <c r="P25" s="1"/>
      <c r="Q25" s="1"/>
      <c r="R25" s="1"/>
      <c r="S25" s="1"/>
      <c r="T25" s="1"/>
      <c r="U25" s="1"/>
      <c r="V25" s="1"/>
      <c r="W25" s="1"/>
      <c r="X25" s="1"/>
      <c r="Y25" s="1"/>
      <c r="Z25" s="1">
        <v>38854.25</v>
      </c>
      <c r="AA25" s="1"/>
      <c r="AB25" s="1"/>
      <c r="AC25" s="1">
        <v>38894.25</v>
      </c>
      <c r="AD25" s="1"/>
      <c r="AE25" s="1"/>
      <c r="AF25" s="1">
        <v>38922.25</v>
      </c>
      <c r="AG25" s="1"/>
      <c r="AH25" s="1"/>
      <c r="AI25" s="1"/>
      <c r="AJ25" s="1"/>
      <c r="AK25" s="1"/>
      <c r="AL25" s="1"/>
      <c r="AM25" s="1"/>
      <c r="AN25" s="1"/>
      <c r="AO25" s="1"/>
      <c r="AP25" s="1"/>
      <c r="AQ25" s="1"/>
      <c r="AR25" s="1"/>
      <c r="AS25" s="1"/>
      <c r="AT25" s="1"/>
      <c r="AU25" s="1"/>
      <c r="AV25" s="1"/>
      <c r="AW25" s="1"/>
      <c r="AX25" s="1">
        <v>39118.25</v>
      </c>
      <c r="AY25" s="1"/>
      <c r="AZ25" s="1">
        <v>38988.25</v>
      </c>
      <c r="BA25" s="1"/>
      <c r="BB25" s="1"/>
      <c r="BC25" s="1"/>
      <c r="BD25" s="1"/>
      <c r="BE25" s="1"/>
      <c r="BF25" s="1"/>
      <c r="BG25" s="1"/>
      <c r="BH25" s="1"/>
      <c r="BI25" s="1"/>
      <c r="BJ25" s="1"/>
      <c r="BK25" s="1"/>
      <c r="BL25" s="1"/>
      <c r="BM25" s="1"/>
      <c r="BN25" s="1"/>
      <c r="BO25" s="1">
        <v>39139.25</v>
      </c>
      <c r="BP25" s="1">
        <v>39000.25</v>
      </c>
      <c r="BQ25" s="1"/>
      <c r="BR25" s="1"/>
      <c r="BS25" s="1"/>
      <c r="BT25" s="1"/>
      <c r="BU25" s="1"/>
      <c r="BV25" s="1"/>
      <c r="BW25" s="1"/>
      <c r="BX25" s="1"/>
      <c r="BY25" s="1">
        <v>39104.25</v>
      </c>
      <c r="BZ25" s="1"/>
      <c r="CA25" s="1"/>
      <c r="CB25" s="1"/>
      <c r="CC25" s="1"/>
      <c r="CD25" s="1"/>
      <c r="CE25" s="1"/>
      <c r="CF25" s="1"/>
      <c r="CG25" s="1"/>
      <c r="CH25" s="1"/>
      <c r="CI25" s="1"/>
      <c r="CJ25" s="1"/>
      <c r="CK25" s="1"/>
      <c r="CL25" s="1"/>
      <c r="CM25" s="1"/>
      <c r="CN25" s="1"/>
      <c r="CO25" s="1"/>
      <c r="CP25" s="1"/>
      <c r="CQ25" s="1"/>
      <c r="CR25" s="1">
        <v>39955.25</v>
      </c>
      <c r="CS25" s="1"/>
      <c r="CT25" s="1"/>
      <c r="CU25" s="1"/>
      <c r="CV25" s="1"/>
      <c r="CW25" s="1"/>
      <c r="CX25" s="1"/>
      <c r="CY25" s="1"/>
      <c r="CZ25" s="1"/>
      <c r="DA25" s="1"/>
      <c r="DB25" s="1"/>
      <c r="DC25" s="1"/>
      <c r="DD25" s="1"/>
      <c r="DE25" s="1"/>
      <c r="DF25" s="1"/>
      <c r="DG25" s="1"/>
      <c r="DH25" s="1">
        <v>40241.25</v>
      </c>
      <c r="DI25" s="1"/>
      <c r="DJ25" s="1"/>
      <c r="DK25" s="1"/>
      <c r="DL25" s="1">
        <v>40252.208333333343</v>
      </c>
      <c r="DM25" s="1"/>
      <c r="DN25" s="1"/>
      <c r="DO25" s="1"/>
      <c r="DP25" s="1"/>
      <c r="DQ25" s="1"/>
      <c r="DR25" s="1"/>
      <c r="DS25" s="1"/>
      <c r="DT25" s="1"/>
      <c r="DU25" s="1"/>
      <c r="DV25" s="1"/>
      <c r="DW25" s="1"/>
      <c r="DX25" s="1"/>
      <c r="DY25" s="1"/>
      <c r="DZ25" s="1"/>
      <c r="EA25" s="1"/>
      <c r="EB25" s="1"/>
      <c r="EC25" s="1"/>
      <c r="ED25" s="1"/>
      <c r="EE25" s="1"/>
      <c r="EF25" s="1">
        <v>40255.208333333343</v>
      </c>
      <c r="EG25" s="1"/>
      <c r="EH25" s="1"/>
      <c r="EI25" s="1"/>
      <c r="EJ25" s="1"/>
      <c r="EK25" s="1">
        <v>40359.25</v>
      </c>
      <c r="EL25" s="1"/>
      <c r="EM25" s="1"/>
      <c r="EN25" s="1"/>
      <c r="EO25" s="1"/>
      <c r="EP25" s="1"/>
      <c r="EQ25" s="1"/>
      <c r="ER25" s="1"/>
      <c r="ES25" s="1"/>
      <c r="ET25" s="1"/>
      <c r="EU25" s="1"/>
      <c r="EV25" s="1"/>
      <c r="EW25" s="1"/>
      <c r="EX25" s="1"/>
      <c r="EY25" s="1"/>
      <c r="EZ25" s="1"/>
      <c r="FA25" s="1"/>
      <c r="FB25" s="1"/>
      <c r="FC25" s="1"/>
      <c r="FD25" s="1">
        <v>40406.25</v>
      </c>
      <c r="FE25" s="1"/>
      <c r="FF25" s="1"/>
      <c r="FG25" s="1"/>
      <c r="FH25" s="1"/>
      <c r="FI25" s="1"/>
      <c r="FJ25" s="1"/>
      <c r="FK25" s="1"/>
      <c r="FL25" s="1"/>
      <c r="FM25" s="1"/>
      <c r="FN25" s="1"/>
      <c r="FO25" s="1"/>
      <c r="FP25" s="1">
        <v>40554.25</v>
      </c>
      <c r="FQ25" s="1"/>
      <c r="FR25" s="1"/>
      <c r="FS25" s="1"/>
      <c r="FT25" s="1">
        <v>40554.25</v>
      </c>
      <c r="FU25" s="1"/>
      <c r="FV25" s="1">
        <v>40505.25</v>
      </c>
      <c r="FW25" s="1"/>
      <c r="FX25" s="1">
        <v>40555.25</v>
      </c>
      <c r="FY25" s="1"/>
      <c r="FZ25" s="1"/>
      <c r="GA25" s="1"/>
      <c r="GB25" s="1"/>
      <c r="GC25" s="1"/>
      <c r="GD25" s="1"/>
      <c r="GE25" s="1"/>
      <c r="GF25" s="1"/>
      <c r="GG25" s="1"/>
      <c r="GH25" s="1"/>
      <c r="GI25" s="1"/>
      <c r="GJ25" s="1"/>
      <c r="GK25" s="1">
        <v>40556.25</v>
      </c>
      <c r="GL25" s="1"/>
      <c r="GM25" s="1"/>
      <c r="GN25" s="1"/>
      <c r="GO25" s="1"/>
      <c r="GP25" s="1"/>
      <c r="GQ25" s="1"/>
      <c r="GR25" s="1"/>
      <c r="GS25" s="1"/>
      <c r="GT25" s="1"/>
      <c r="GU25" s="1"/>
      <c r="GV25" s="1"/>
      <c r="GW25" s="1"/>
      <c r="GX25" s="1"/>
      <c r="GY25" s="1"/>
      <c r="GZ25" s="1"/>
      <c r="HA25" s="1"/>
      <c r="HB25" s="1"/>
      <c r="HC25" s="1"/>
      <c r="HD25" s="1"/>
      <c r="HE25" s="1"/>
      <c r="HF25" s="1"/>
      <c r="HG25" s="1"/>
      <c r="HH25" s="1"/>
    </row>
    <row r="26" spans="1:216" x14ac:dyDescent="0.3">
      <c r="A26" s="3" t="str">
        <f>HYPERLINK("https://hpr-rps.hres.ca/reg-content/summary-basis-decision-detailOne.php?lang=en&amp;linkID=SBD00030", "Champix")</f>
        <v>Champix</v>
      </c>
      <c r="B26" s="1" t="s">
        <v>142</v>
      </c>
      <c r="C26" s="1" t="s">
        <v>143</v>
      </c>
      <c r="D26" s="1" t="s">
        <v>144</v>
      </c>
      <c r="E26" s="1"/>
      <c r="F26" s="1"/>
      <c r="G26" s="1"/>
      <c r="H26" s="1">
        <v>38751.25</v>
      </c>
      <c r="I26" s="1"/>
      <c r="J26" s="1"/>
      <c r="K26" s="1"/>
      <c r="L26" s="1"/>
      <c r="M26" s="1"/>
      <c r="N26" s="1"/>
      <c r="O26" s="1"/>
      <c r="P26" s="1"/>
      <c r="Q26" s="1"/>
      <c r="R26" s="1"/>
      <c r="S26" s="1"/>
      <c r="T26" s="1"/>
      <c r="U26" s="1"/>
      <c r="V26" s="1"/>
      <c r="W26" s="1"/>
      <c r="X26" s="1"/>
      <c r="Y26" s="1"/>
      <c r="Z26" s="1"/>
      <c r="AA26" s="1"/>
      <c r="AB26" s="1"/>
      <c r="AC26" s="1"/>
      <c r="AD26" s="1"/>
      <c r="AE26" s="1"/>
      <c r="AF26" s="1">
        <v>38807.291666666657</v>
      </c>
      <c r="AG26" s="1"/>
      <c r="AH26" s="1"/>
      <c r="AI26" s="1"/>
      <c r="AJ26" s="1"/>
      <c r="AK26" s="1"/>
      <c r="AL26" s="1"/>
      <c r="AM26" s="1"/>
      <c r="AN26" s="1"/>
      <c r="AO26" s="1"/>
      <c r="AP26" s="1"/>
      <c r="AQ26" s="1"/>
      <c r="AR26" s="1">
        <v>39100.25</v>
      </c>
      <c r="AS26" s="1">
        <v>39020.25</v>
      </c>
      <c r="AT26" s="1"/>
      <c r="AU26" s="1"/>
      <c r="AV26" s="1">
        <v>39101.25</v>
      </c>
      <c r="AW26" s="1"/>
      <c r="AX26" s="1"/>
      <c r="AY26" s="1"/>
      <c r="AZ26" s="1">
        <v>39105.25</v>
      </c>
      <c r="BA26" s="1"/>
      <c r="BB26" s="1"/>
      <c r="BC26" s="1"/>
      <c r="BD26" s="1"/>
      <c r="BE26" s="1"/>
      <c r="BF26" s="1"/>
      <c r="BG26" s="1"/>
      <c r="BH26" s="1"/>
      <c r="BI26" s="1"/>
      <c r="BJ26" s="1"/>
      <c r="BK26" s="1"/>
      <c r="BL26" s="1"/>
      <c r="BM26" s="1">
        <v>39106.25</v>
      </c>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row>
    <row r="27" spans="1:216" x14ac:dyDescent="0.3">
      <c r="A27" s="3" t="str">
        <f>HYPERLINK("https://hpr-rps.hres.ca/reg-content/summary-basis-decision-detailOne.php?lang=en&amp;linkID=SBD00023", "Campral ®")</f>
        <v>Campral ®</v>
      </c>
      <c r="B27" s="1" t="s">
        <v>145</v>
      </c>
      <c r="C27" s="1" t="s">
        <v>146</v>
      </c>
      <c r="D27" s="1" t="s">
        <v>147</v>
      </c>
      <c r="E27" s="1"/>
      <c r="F27" s="1"/>
      <c r="G27" s="1"/>
      <c r="H27" s="1"/>
      <c r="I27" s="1"/>
      <c r="J27" s="1"/>
      <c r="K27" s="1"/>
      <c r="L27" s="1"/>
      <c r="M27" s="1"/>
      <c r="N27" s="1">
        <v>38673.25</v>
      </c>
      <c r="O27" s="1"/>
      <c r="P27" s="1"/>
      <c r="Q27" s="1"/>
      <c r="R27" s="1"/>
      <c r="S27" s="1"/>
      <c r="T27" s="1">
        <v>38708.25</v>
      </c>
      <c r="U27" s="1"/>
      <c r="V27" s="1">
        <v>38709.25</v>
      </c>
      <c r="W27" s="1"/>
      <c r="X27" s="1"/>
      <c r="Y27" s="1"/>
      <c r="Z27" s="1">
        <v>38765.25</v>
      </c>
      <c r="AA27" s="1"/>
      <c r="AB27" s="1"/>
      <c r="AC27" s="1">
        <v>38810.25</v>
      </c>
      <c r="AD27" s="1"/>
      <c r="AE27" s="1"/>
      <c r="AF27" s="1">
        <v>39225.25</v>
      </c>
      <c r="AG27" s="1"/>
      <c r="AH27" s="1"/>
      <c r="AI27" s="1"/>
      <c r="AJ27" s="1"/>
      <c r="AK27" s="1"/>
      <c r="AL27" s="1"/>
      <c r="AM27" s="1"/>
      <c r="AN27" s="1"/>
      <c r="AO27" s="1"/>
      <c r="AP27" s="1"/>
      <c r="AQ27" s="1"/>
      <c r="AR27" s="1">
        <v>39139.25</v>
      </c>
      <c r="AS27" s="1">
        <v>39225.25</v>
      </c>
      <c r="AT27" s="1"/>
      <c r="AU27" s="1"/>
      <c r="AV27" s="1">
        <v>39225.25</v>
      </c>
      <c r="AW27" s="1"/>
      <c r="AX27" s="1"/>
      <c r="AY27" s="1"/>
      <c r="AZ27" s="1">
        <v>39225.25</v>
      </c>
      <c r="BA27" s="1"/>
      <c r="BB27" s="1"/>
      <c r="BC27" s="1"/>
      <c r="BD27" s="1"/>
      <c r="BE27" s="1"/>
      <c r="BF27" s="1"/>
      <c r="BG27" s="1"/>
      <c r="BH27" s="1"/>
      <c r="BI27" s="1"/>
      <c r="BJ27" s="1"/>
      <c r="BK27" s="1"/>
      <c r="BL27" s="1"/>
      <c r="BM27" s="1">
        <v>39157.208333333343</v>
      </c>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row>
    <row r="28" spans="1:216" x14ac:dyDescent="0.3">
      <c r="A28" s="3" t="str">
        <f>HYPERLINK("https://hpr-rps.hres.ca/reg-content/summary-basis-decision-detailOne.php?lang=en&amp;linkID=SBD00024", "Cantrace TM")</f>
        <v>Cantrace TM</v>
      </c>
      <c r="B28" s="1" t="s">
        <v>148</v>
      </c>
      <c r="C28" s="1" t="s">
        <v>149</v>
      </c>
      <c r="D28" s="1" t="s">
        <v>150</v>
      </c>
      <c r="E28" s="1"/>
      <c r="F28" s="1"/>
      <c r="G28" s="1"/>
      <c r="H28" s="1"/>
      <c r="I28" s="1"/>
      <c r="J28" s="1"/>
      <c r="K28" s="1"/>
      <c r="L28" s="1"/>
      <c r="M28" s="1"/>
      <c r="N28" s="1">
        <v>37942.25</v>
      </c>
      <c r="O28" s="1"/>
      <c r="P28" s="1"/>
      <c r="Q28" s="1"/>
      <c r="R28" s="1"/>
      <c r="S28" s="1"/>
      <c r="T28" s="1">
        <v>37972.25</v>
      </c>
      <c r="U28" s="1"/>
      <c r="V28" s="1">
        <v>38110.25</v>
      </c>
      <c r="W28" s="1"/>
      <c r="X28" s="1"/>
      <c r="Y28" s="1"/>
      <c r="Z28" s="1"/>
      <c r="AA28" s="1"/>
      <c r="AB28" s="1"/>
      <c r="AC28" s="1"/>
      <c r="AD28" s="1"/>
      <c r="AE28" s="1"/>
      <c r="AF28" s="1">
        <v>38146.25</v>
      </c>
      <c r="AG28" s="1"/>
      <c r="AH28" s="1"/>
      <c r="AI28" s="1"/>
      <c r="AJ28" s="1"/>
      <c r="AK28" s="1"/>
      <c r="AL28" s="1"/>
      <c r="AM28" s="1"/>
      <c r="AN28" s="1"/>
      <c r="AO28" s="1"/>
      <c r="AP28" s="1"/>
      <c r="AQ28" s="1"/>
      <c r="AR28" s="1"/>
      <c r="AS28" s="1"/>
      <c r="AT28" s="1"/>
      <c r="AU28" s="1"/>
      <c r="AV28" s="1">
        <v>38632.25</v>
      </c>
      <c r="AW28" s="1"/>
      <c r="AX28" s="1"/>
      <c r="AY28" s="1"/>
      <c r="AZ28" s="1">
        <v>38646.25</v>
      </c>
      <c r="BA28" s="1"/>
      <c r="BB28" s="1"/>
      <c r="BC28" s="1"/>
      <c r="BD28" s="1"/>
      <c r="BE28" s="1"/>
      <c r="BF28" s="1"/>
      <c r="BG28" s="1"/>
      <c r="BH28" s="1"/>
      <c r="BI28" s="1"/>
      <c r="BJ28" s="1"/>
      <c r="BK28" s="1"/>
      <c r="BL28" s="1"/>
      <c r="BM28" s="1"/>
      <c r="BN28" s="1"/>
      <c r="BO28" s="1"/>
      <c r="BP28" s="1"/>
      <c r="BQ28" s="1"/>
      <c r="BR28" s="1"/>
      <c r="BS28" s="1"/>
      <c r="BT28" s="1">
        <v>38651.25</v>
      </c>
      <c r="BU28" s="1"/>
      <c r="BV28" s="1"/>
      <c r="BW28" s="1"/>
      <c r="BX28" s="1"/>
      <c r="BY28" s="1">
        <v>38825.25</v>
      </c>
      <c r="BZ28" s="1"/>
      <c r="CA28" s="1"/>
      <c r="CB28" s="1"/>
      <c r="CC28" s="1"/>
      <c r="CD28" s="1"/>
      <c r="CE28" s="1"/>
      <c r="CF28" s="1"/>
      <c r="CG28" s="1"/>
      <c r="CH28" s="1"/>
      <c r="CI28" s="1"/>
      <c r="CJ28" s="1"/>
      <c r="CK28" s="1"/>
      <c r="CL28" s="1"/>
      <c r="CM28" s="1"/>
      <c r="CN28" s="1"/>
      <c r="CO28" s="1"/>
      <c r="CP28" s="1"/>
      <c r="CQ28" s="1"/>
      <c r="CR28" s="1">
        <v>38835.25</v>
      </c>
      <c r="CS28" s="1"/>
      <c r="CT28" s="1"/>
      <c r="CU28" s="1"/>
      <c r="CV28" s="1"/>
      <c r="CW28" s="1"/>
      <c r="CX28" s="1"/>
      <c r="CY28" s="1"/>
      <c r="CZ28" s="1"/>
      <c r="DA28" s="1"/>
      <c r="DB28" s="1"/>
      <c r="DC28" s="1"/>
      <c r="DD28" s="1">
        <v>38923.25</v>
      </c>
      <c r="DE28" s="1"/>
      <c r="DF28" s="1"/>
      <c r="DG28" s="1"/>
      <c r="DH28" s="1">
        <v>38925.25</v>
      </c>
      <c r="DI28" s="1"/>
      <c r="DJ28" s="1"/>
      <c r="DK28" s="1"/>
      <c r="DL28" s="1">
        <v>38925.25</v>
      </c>
      <c r="DM28" s="1"/>
      <c r="DN28" s="1"/>
      <c r="DO28" s="1"/>
      <c r="DP28" s="1"/>
      <c r="DQ28" s="1"/>
      <c r="DR28" s="1"/>
      <c r="DS28" s="1"/>
      <c r="DT28" s="1"/>
      <c r="DU28" s="1"/>
      <c r="DV28" s="1"/>
      <c r="DW28" s="1"/>
      <c r="DX28" s="1"/>
      <c r="DY28" s="1">
        <v>38925.25</v>
      </c>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row>
    <row r="29" spans="1:216" x14ac:dyDescent="0.3">
      <c r="A29" s="3" t="str">
        <f>HYPERLINK("https://hpr-rps.hres.ca/reg-content/summary-basis-decision-detailOne.php?lang=en&amp;linkID=SBD00025", "Caprelsa ®")</f>
        <v>Caprelsa ®</v>
      </c>
      <c r="B29" s="1" t="s">
        <v>151</v>
      </c>
      <c r="C29" s="1" t="s">
        <v>137</v>
      </c>
      <c r="D29" s="1" t="s">
        <v>152</v>
      </c>
      <c r="E29" s="1"/>
      <c r="F29" s="1"/>
      <c r="G29" s="1"/>
      <c r="H29" s="1">
        <v>40570.25</v>
      </c>
      <c r="I29" s="1"/>
      <c r="J29" s="1"/>
      <c r="K29" s="1"/>
      <c r="L29" s="1"/>
      <c r="M29" s="1"/>
      <c r="N29" s="1"/>
      <c r="O29" s="1"/>
      <c r="P29" s="1"/>
      <c r="Q29" s="1"/>
      <c r="R29" s="1"/>
      <c r="S29" s="1"/>
      <c r="T29" s="1"/>
      <c r="U29" s="1"/>
      <c r="V29" s="1"/>
      <c r="W29" s="1"/>
      <c r="X29" s="1"/>
      <c r="Y29" s="1"/>
      <c r="Z29" s="1"/>
      <c r="AA29" s="1"/>
      <c r="AB29" s="1"/>
      <c r="AC29" s="1"/>
      <c r="AD29" s="1"/>
      <c r="AE29" s="1"/>
      <c r="AF29" s="1">
        <v>40620.208333333343</v>
      </c>
      <c r="AG29" s="1"/>
      <c r="AH29" s="1"/>
      <c r="AI29" s="1"/>
      <c r="AJ29" s="1"/>
      <c r="AK29" s="1"/>
      <c r="AL29" s="1"/>
      <c r="AM29" s="1"/>
      <c r="AN29" s="1"/>
      <c r="AO29" s="1"/>
      <c r="AP29" s="1"/>
      <c r="AQ29" s="1"/>
      <c r="AR29" s="1">
        <v>40919.25</v>
      </c>
      <c r="AS29" s="1"/>
      <c r="AT29" s="1"/>
      <c r="AU29" s="1"/>
      <c r="AV29" s="1">
        <v>40917.25</v>
      </c>
      <c r="AW29" s="1"/>
      <c r="AX29" s="1">
        <v>40875.25</v>
      </c>
      <c r="AY29" s="1"/>
      <c r="AZ29" s="1">
        <v>40919.25</v>
      </c>
      <c r="BA29" s="1"/>
      <c r="BB29" s="1"/>
      <c r="BC29" s="1"/>
      <c r="BD29" s="1"/>
      <c r="BE29" s="1"/>
      <c r="BF29" s="1"/>
      <c r="BG29" s="1"/>
      <c r="BH29" s="1"/>
      <c r="BI29" s="1"/>
      <c r="BJ29" s="1"/>
      <c r="BK29" s="1"/>
      <c r="BL29" s="1"/>
      <c r="BM29" s="1">
        <v>40920.25</v>
      </c>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row>
    <row r="30" spans="1:216" x14ac:dyDescent="0.3">
      <c r="A30" s="3" t="str">
        <f>HYPERLINK("https://hpr-rps.hres.ca/reg-content/summary-basis-decision-detailOne.php?lang=en&amp;linkID=SBD00026", "Catena ®")</f>
        <v>Catena ®</v>
      </c>
      <c r="B30" s="1" t="s">
        <v>153</v>
      </c>
      <c r="C30" s="1" t="s">
        <v>154</v>
      </c>
      <c r="D30" s="1" t="s">
        <v>155</v>
      </c>
      <c r="E30" s="1">
        <v>39315.25</v>
      </c>
      <c r="F30" s="1"/>
      <c r="G30" s="1">
        <v>39315.25</v>
      </c>
      <c r="H30" s="1">
        <v>39381.25</v>
      </c>
      <c r="I30" s="1"/>
      <c r="J30" s="1"/>
      <c r="K30" s="1"/>
      <c r="L30" s="1"/>
      <c r="M30" s="1"/>
      <c r="N30" s="1"/>
      <c r="O30" s="1"/>
      <c r="P30" s="1"/>
      <c r="Q30" s="1"/>
      <c r="R30" s="1"/>
      <c r="S30" s="1"/>
      <c r="T30" s="1"/>
      <c r="U30" s="1"/>
      <c r="V30" s="1"/>
      <c r="W30" s="1"/>
      <c r="X30" s="1"/>
      <c r="Y30" s="1"/>
      <c r="Z30" s="1"/>
      <c r="AA30" s="1"/>
      <c r="AB30" s="1"/>
      <c r="AC30" s="1"/>
      <c r="AD30" s="1"/>
      <c r="AE30" s="1"/>
      <c r="AF30" s="1">
        <v>39408.25</v>
      </c>
      <c r="AG30" s="1"/>
      <c r="AH30" s="1"/>
      <c r="AI30" s="1"/>
      <c r="AJ30" s="1"/>
      <c r="AK30" s="1"/>
      <c r="AL30" s="1"/>
      <c r="AM30" s="1"/>
      <c r="AN30" s="1"/>
      <c r="AO30" s="1"/>
      <c r="AP30" s="1"/>
      <c r="AQ30" s="1"/>
      <c r="AR30" s="1">
        <v>39605.25</v>
      </c>
      <c r="AS30" s="1">
        <v>39588.25</v>
      </c>
      <c r="AT30" s="1"/>
      <c r="AU30" s="1"/>
      <c r="AV30" s="1">
        <v>39409.25</v>
      </c>
      <c r="AW30" s="1"/>
      <c r="AX30" s="1"/>
      <c r="AY30" s="1"/>
      <c r="AZ30" s="1">
        <v>39647.25</v>
      </c>
      <c r="BA30" s="1"/>
      <c r="BB30" s="1"/>
      <c r="BC30" s="1"/>
      <c r="BD30" s="1"/>
      <c r="BE30" s="1"/>
      <c r="BF30" s="1"/>
      <c r="BG30" s="1"/>
      <c r="BH30" s="1"/>
      <c r="BI30" s="1"/>
      <c r="BJ30" s="1"/>
      <c r="BK30" s="1">
        <v>39608.25</v>
      </c>
      <c r="BL30" s="1">
        <v>39652.25</v>
      </c>
      <c r="BM30" s="1"/>
      <c r="BN30" s="1"/>
      <c r="BO30" s="1"/>
      <c r="BP30" s="1"/>
      <c r="BQ30" s="1"/>
      <c r="BR30" s="1"/>
      <c r="BS30" s="1"/>
      <c r="BT30" s="1"/>
      <c r="BU30" s="1"/>
      <c r="BV30" s="1"/>
      <c r="BW30" s="1"/>
      <c r="BX30" s="1"/>
      <c r="BY30" s="1">
        <v>39625.25</v>
      </c>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row>
    <row r="31" spans="1:216" x14ac:dyDescent="0.3">
      <c r="A31" s="3" t="str">
        <f>HYPERLINK("https://hpr-rps.hres.ca/reg-content/summary-basis-decision-detailOne.php?lang=en&amp;linkID=SBD00028", "Celsentri")</f>
        <v>Celsentri</v>
      </c>
      <c r="B31" s="1" t="s">
        <v>156</v>
      </c>
      <c r="C31" s="1" t="s">
        <v>143</v>
      </c>
      <c r="D31" s="1" t="s">
        <v>157</v>
      </c>
      <c r="E31" s="1">
        <v>39106.25</v>
      </c>
      <c r="F31" s="1"/>
      <c r="G31" s="1"/>
      <c r="H31" s="1"/>
      <c r="I31" s="1"/>
      <c r="J31" s="1"/>
      <c r="K31" s="1"/>
      <c r="L31" s="1"/>
      <c r="M31" s="1"/>
      <c r="N31" s="1">
        <v>39111.25</v>
      </c>
      <c r="O31" s="1"/>
      <c r="P31" s="1"/>
      <c r="Q31" s="1"/>
      <c r="R31" s="1"/>
      <c r="S31" s="1">
        <v>39139.25</v>
      </c>
      <c r="T31" s="1"/>
      <c r="U31" s="1"/>
      <c r="V31" s="1">
        <v>39142.25</v>
      </c>
      <c r="W31" s="1"/>
      <c r="X31" s="1"/>
      <c r="Y31" s="1"/>
      <c r="Z31" s="1"/>
      <c r="AA31" s="1"/>
      <c r="AB31" s="1"/>
      <c r="AC31" s="1"/>
      <c r="AD31" s="1"/>
      <c r="AE31" s="1"/>
      <c r="AF31" s="1">
        <v>39169.25</v>
      </c>
      <c r="AG31" s="1"/>
      <c r="AH31" s="1"/>
      <c r="AI31" s="1"/>
      <c r="AJ31" s="1"/>
      <c r="AK31" s="1"/>
      <c r="AL31" s="1"/>
      <c r="AM31" s="1"/>
      <c r="AN31" s="1"/>
      <c r="AO31" s="1"/>
      <c r="AP31" s="1"/>
      <c r="AQ31" s="1"/>
      <c r="AR31" s="1">
        <v>39343.25</v>
      </c>
      <c r="AS31" s="1">
        <v>39316.25</v>
      </c>
      <c r="AT31" s="1"/>
      <c r="AU31" s="1"/>
      <c r="AV31" s="1">
        <v>39342.25</v>
      </c>
      <c r="AW31" s="1"/>
      <c r="AX31" s="1"/>
      <c r="AY31" s="1"/>
      <c r="AZ31" s="1">
        <v>39339.25</v>
      </c>
      <c r="BA31" s="1"/>
      <c r="BB31" s="1"/>
      <c r="BC31" s="1"/>
      <c r="BD31" s="1"/>
      <c r="BE31" s="1"/>
      <c r="BF31" s="1"/>
      <c r="BG31" s="1"/>
      <c r="BH31" s="1"/>
      <c r="BI31" s="1"/>
      <c r="BJ31" s="1"/>
      <c r="BK31" s="1"/>
      <c r="BL31" s="1"/>
      <c r="BM31" s="1">
        <v>39346.25</v>
      </c>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row>
    <row r="32" spans="1:216" x14ac:dyDescent="0.3">
      <c r="A32" s="3" t="str">
        <f>HYPERLINK("https://hpr-rps.hres.ca/reg-content/summary-basis-decision-detailOne.php?lang=en&amp;linkID=SBD00029", "Cervarix TM")</f>
        <v>Cervarix TM</v>
      </c>
      <c r="B32" s="1" t="s">
        <v>158</v>
      </c>
      <c r="C32" s="1" t="s">
        <v>96</v>
      </c>
      <c r="D32" s="1" t="s">
        <v>159</v>
      </c>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v>38861.25</v>
      </c>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v>39014.25</v>
      </c>
      <c r="BQ32" s="1"/>
      <c r="BR32" s="1"/>
      <c r="BS32" s="1"/>
      <c r="BT32" s="1"/>
      <c r="BU32" s="1"/>
      <c r="BV32" s="1"/>
      <c r="BW32" s="1"/>
      <c r="BX32" s="1"/>
      <c r="BY32" s="1">
        <v>39101.25</v>
      </c>
      <c r="BZ32" s="1"/>
      <c r="CA32" s="1"/>
      <c r="CB32" s="1"/>
      <c r="CC32" s="1"/>
      <c r="CD32" s="1"/>
      <c r="CE32" s="1"/>
      <c r="CF32" s="1"/>
      <c r="CG32" s="1"/>
      <c r="CH32" s="1"/>
      <c r="CI32" s="1"/>
      <c r="CJ32" s="1"/>
      <c r="CK32" s="1"/>
      <c r="CL32" s="1"/>
      <c r="CM32" s="1"/>
      <c r="CN32" s="1"/>
      <c r="CO32" s="1"/>
      <c r="CP32" s="1"/>
      <c r="CQ32" s="1"/>
      <c r="CR32" s="1">
        <v>39142.25</v>
      </c>
      <c r="CS32" s="1"/>
      <c r="CT32" s="1"/>
      <c r="CU32" s="1"/>
      <c r="CV32" s="1"/>
      <c r="CW32" s="1"/>
      <c r="CX32" s="1"/>
      <c r="CY32" s="1"/>
      <c r="CZ32" s="1"/>
      <c r="DA32" s="1">
        <v>39374.25</v>
      </c>
      <c r="DB32" s="1"/>
      <c r="DC32" s="1"/>
      <c r="DD32" s="1"/>
      <c r="DE32" s="1"/>
      <c r="DF32" s="1"/>
      <c r="DG32" s="1"/>
      <c r="DH32" s="1"/>
      <c r="DI32" s="1"/>
      <c r="DJ32" s="1"/>
      <c r="DK32" s="1"/>
      <c r="DL32" s="1">
        <v>39423.25</v>
      </c>
      <c r="DM32" s="1"/>
      <c r="DN32" s="1"/>
      <c r="DO32" s="1"/>
      <c r="DP32" s="1"/>
      <c r="DQ32" s="1"/>
      <c r="DR32" s="1"/>
      <c r="DS32" s="1"/>
      <c r="DT32" s="1"/>
      <c r="DU32" s="1"/>
      <c r="DV32" s="1"/>
      <c r="DW32" s="1"/>
      <c r="DX32" s="1"/>
      <c r="DY32" s="1"/>
      <c r="DZ32" s="1"/>
      <c r="EA32" s="1"/>
      <c r="EB32" s="1"/>
      <c r="EC32" s="1"/>
      <c r="ED32" s="1"/>
      <c r="EE32" s="1"/>
      <c r="EF32" s="1">
        <v>39436.25</v>
      </c>
      <c r="EG32" s="1"/>
      <c r="EH32" s="1"/>
      <c r="EI32" s="1"/>
      <c r="EJ32" s="1"/>
      <c r="EK32" s="1"/>
      <c r="EL32" s="1"/>
      <c r="EM32" s="1"/>
      <c r="EN32" s="1"/>
      <c r="EO32" s="1"/>
      <c r="EP32" s="1"/>
      <c r="EQ32" s="1"/>
      <c r="ER32" s="1"/>
      <c r="ES32" s="1"/>
      <c r="ET32" s="1"/>
      <c r="EU32" s="1"/>
      <c r="EV32" s="1"/>
      <c r="EW32" s="1"/>
      <c r="EX32" s="1"/>
      <c r="EY32" s="1"/>
      <c r="EZ32" s="1"/>
      <c r="FA32" s="1"/>
      <c r="FB32" s="1"/>
      <c r="FC32" s="1"/>
      <c r="FD32" s="1">
        <v>39584.25</v>
      </c>
      <c r="FE32" s="1"/>
      <c r="FF32" s="1"/>
      <c r="FG32" s="1"/>
      <c r="FH32" s="1">
        <v>39527.208333333343</v>
      </c>
      <c r="FI32" s="1"/>
      <c r="FJ32" s="1"/>
      <c r="FK32" s="1"/>
      <c r="FL32" s="1"/>
      <c r="FM32" s="1"/>
      <c r="FN32" s="1"/>
      <c r="FO32" s="1"/>
      <c r="FP32" s="1"/>
      <c r="FQ32" s="1"/>
      <c r="FR32" s="1"/>
      <c r="FS32" s="1"/>
      <c r="FT32" s="1">
        <v>39650.25</v>
      </c>
      <c r="FU32" s="1"/>
      <c r="FV32" s="1"/>
      <c r="FW32" s="1"/>
      <c r="FX32" s="1">
        <v>39736.25</v>
      </c>
      <c r="FY32" s="1"/>
      <c r="FZ32" s="1"/>
      <c r="GA32" s="1"/>
      <c r="GB32" s="1"/>
      <c r="GC32" s="1"/>
      <c r="GD32" s="1"/>
      <c r="GE32" s="1"/>
      <c r="GF32" s="1"/>
      <c r="GG32" s="1"/>
      <c r="GH32" s="1"/>
      <c r="GI32" s="1"/>
      <c r="GJ32" s="1"/>
      <c r="GK32" s="1"/>
      <c r="GL32" s="1"/>
      <c r="GM32" s="1"/>
      <c r="GN32" s="1"/>
      <c r="GO32" s="1"/>
      <c r="GP32" s="1"/>
      <c r="GQ32" s="1"/>
      <c r="GR32" s="1">
        <v>39737.25</v>
      </c>
      <c r="GS32" s="1"/>
      <c r="GT32" s="1"/>
      <c r="GU32" s="1"/>
      <c r="GV32" s="1"/>
      <c r="GW32" s="1"/>
      <c r="GX32" s="1"/>
      <c r="GY32" s="1"/>
      <c r="GZ32" s="1"/>
      <c r="HA32" s="1"/>
      <c r="HB32" s="1"/>
      <c r="HC32" s="1"/>
      <c r="HD32" s="1"/>
      <c r="HE32" s="1"/>
      <c r="HF32" s="1"/>
      <c r="HG32" s="1"/>
      <c r="HH32" s="1"/>
    </row>
    <row r="33" spans="1:216" x14ac:dyDescent="0.3">
      <c r="A33" s="3" t="str">
        <f>HYPERLINK("https://hpr-rps.hres.ca/reg-content/summary-basis-decision-detailOne.php?lang=en&amp;linkID=SBD00031", "Colesevalam hydrochloride (Lodalis)")</f>
        <v>Colesevalam hydrochloride (Lodalis)</v>
      </c>
      <c r="B33" s="1" t="s">
        <v>160</v>
      </c>
      <c r="C33" s="1" t="s">
        <v>161</v>
      </c>
      <c r="D33" s="1" t="s">
        <v>162</v>
      </c>
      <c r="E33" s="1">
        <v>39597.25</v>
      </c>
      <c r="F33" s="1"/>
      <c r="G33" s="1"/>
      <c r="H33" s="1">
        <v>40095.25</v>
      </c>
      <c r="I33" s="1"/>
      <c r="J33" s="1"/>
      <c r="K33" s="1"/>
      <c r="L33" s="1"/>
      <c r="M33" s="1"/>
      <c r="N33" s="1"/>
      <c r="O33" s="1"/>
      <c r="P33" s="1"/>
      <c r="Q33" s="1"/>
      <c r="R33" s="1"/>
      <c r="S33" s="1"/>
      <c r="T33" s="1"/>
      <c r="U33" s="1"/>
      <c r="V33" s="1"/>
      <c r="W33" s="1"/>
      <c r="X33" s="1"/>
      <c r="Y33" s="1"/>
      <c r="Z33" s="1">
        <v>40144.25</v>
      </c>
      <c r="AA33" s="1"/>
      <c r="AB33" s="1"/>
      <c r="AC33" s="1">
        <v>40186.25</v>
      </c>
      <c r="AD33" s="1"/>
      <c r="AE33" s="1"/>
      <c r="AF33" s="1">
        <v>40234.25</v>
      </c>
      <c r="AG33" s="1"/>
      <c r="AH33" s="1"/>
      <c r="AI33" s="1"/>
      <c r="AJ33" s="1"/>
      <c r="AK33" s="1"/>
      <c r="AL33" s="1"/>
      <c r="AM33" s="1"/>
      <c r="AN33" s="1"/>
      <c r="AO33" s="1"/>
      <c r="AP33" s="1"/>
      <c r="AQ33" s="1"/>
      <c r="AR33" s="1"/>
      <c r="AS33" s="1"/>
      <c r="AT33" s="1"/>
      <c r="AU33" s="1"/>
      <c r="AV33" s="1">
        <v>40532.25</v>
      </c>
      <c r="AW33" s="1"/>
      <c r="AX33" s="1"/>
      <c r="AY33" s="1"/>
      <c r="AZ33" s="1">
        <v>40534.25</v>
      </c>
      <c r="BA33" s="1"/>
      <c r="BB33" s="1"/>
      <c r="BC33" s="1"/>
      <c r="BD33" s="1"/>
      <c r="BE33" s="1"/>
      <c r="BF33" s="1"/>
      <c r="BG33" s="1"/>
      <c r="BH33" s="1"/>
      <c r="BI33" s="1"/>
      <c r="BJ33" s="1"/>
      <c r="BK33" s="1"/>
      <c r="BL33" s="1"/>
      <c r="BM33" s="1"/>
      <c r="BN33" s="1"/>
      <c r="BO33" s="1"/>
      <c r="BP33" s="1"/>
      <c r="BQ33" s="1"/>
      <c r="BR33" s="1"/>
      <c r="BS33" s="1"/>
      <c r="BT33" s="1">
        <v>40534.25</v>
      </c>
      <c r="BU33" s="1"/>
      <c r="BV33" s="1"/>
      <c r="BW33" s="1"/>
      <c r="BX33" s="1"/>
      <c r="BY33" s="1">
        <v>40624.208333333343</v>
      </c>
      <c r="BZ33" s="1"/>
      <c r="CA33" s="1"/>
      <c r="CB33" s="1"/>
      <c r="CC33" s="1"/>
      <c r="CD33" s="1"/>
      <c r="CE33" s="1"/>
      <c r="CF33" s="1"/>
      <c r="CG33" s="1"/>
      <c r="CH33" s="1"/>
      <c r="CI33" s="1"/>
      <c r="CJ33" s="1"/>
      <c r="CK33" s="1"/>
      <c r="CL33" s="1"/>
      <c r="CM33" s="1"/>
      <c r="CN33" s="1"/>
      <c r="CO33" s="1"/>
      <c r="CP33" s="1"/>
      <c r="CQ33" s="1"/>
      <c r="CR33" s="1">
        <v>40659.25</v>
      </c>
      <c r="CS33" s="1"/>
      <c r="CT33" s="1"/>
      <c r="CU33" s="1"/>
      <c r="CV33" s="1"/>
      <c r="CW33" s="1"/>
      <c r="CX33" s="1"/>
      <c r="CY33" s="1"/>
      <c r="CZ33" s="1"/>
      <c r="DA33" s="1"/>
      <c r="DB33" s="1"/>
      <c r="DC33" s="1"/>
      <c r="DD33" s="1">
        <v>40800.25</v>
      </c>
      <c r="DE33" s="1"/>
      <c r="DF33" s="1"/>
      <c r="DG33" s="1"/>
      <c r="DH33" s="1">
        <v>40795.25</v>
      </c>
      <c r="DI33" s="1"/>
      <c r="DJ33" s="1"/>
      <c r="DK33" s="1"/>
      <c r="DL33" s="1">
        <v>40802.25</v>
      </c>
      <c r="DM33" s="1"/>
      <c r="DN33" s="1"/>
      <c r="DO33" s="1"/>
      <c r="DP33" s="1"/>
      <c r="DQ33" s="1"/>
      <c r="DR33" s="1"/>
      <c r="DS33" s="1"/>
      <c r="DT33" s="1"/>
      <c r="DU33" s="1"/>
      <c r="DV33" s="1"/>
      <c r="DW33" s="1"/>
      <c r="DX33" s="1"/>
      <c r="DY33" s="1">
        <v>40808.25</v>
      </c>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row>
    <row r="34" spans="1:216" x14ac:dyDescent="0.3">
      <c r="A34" s="3" t="str">
        <f>HYPERLINK("https://hpr-rps.hres.ca/reg-content/summary-basis-decision-detailOne.php?lang=en&amp;linkID=SBD00032", "Cimzia TM")</f>
        <v>Cimzia TM</v>
      </c>
      <c r="B34" s="1" t="s">
        <v>163</v>
      </c>
      <c r="C34" s="1" t="s">
        <v>164</v>
      </c>
      <c r="D34" s="1" t="s">
        <v>165</v>
      </c>
      <c r="E34" s="1">
        <v>39317.25</v>
      </c>
      <c r="F34" s="1"/>
      <c r="G34" s="1"/>
      <c r="H34" s="1">
        <v>39519.208333333343</v>
      </c>
      <c r="I34" s="1"/>
      <c r="J34" s="1"/>
      <c r="K34" s="1"/>
      <c r="L34" s="1"/>
      <c r="M34" s="1"/>
      <c r="N34" s="1"/>
      <c r="O34" s="1"/>
      <c r="P34" s="1"/>
      <c r="Q34" s="1"/>
      <c r="R34" s="1"/>
      <c r="S34" s="1"/>
      <c r="T34" s="1"/>
      <c r="U34" s="1"/>
      <c r="V34" s="1"/>
      <c r="W34" s="1"/>
      <c r="X34" s="1"/>
      <c r="Y34" s="1"/>
      <c r="Z34" s="1"/>
      <c r="AA34" s="1"/>
      <c r="AB34" s="1"/>
      <c r="AC34" s="1"/>
      <c r="AD34" s="1"/>
      <c r="AE34" s="1"/>
      <c r="AF34" s="1">
        <v>39563.25</v>
      </c>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v>39708.25</v>
      </c>
      <c r="BQ34" s="1"/>
      <c r="BR34" s="1"/>
      <c r="BS34" s="1"/>
      <c r="BT34" s="1"/>
      <c r="BU34" s="1"/>
      <c r="BV34" s="1"/>
      <c r="BW34" s="1"/>
      <c r="BX34" s="1"/>
      <c r="BY34" s="1">
        <v>39736.25</v>
      </c>
      <c r="BZ34" s="1"/>
      <c r="CA34" s="1"/>
      <c r="CB34" s="1"/>
      <c r="CC34" s="1"/>
      <c r="CD34" s="1"/>
      <c r="CE34" s="1"/>
      <c r="CF34" s="1"/>
      <c r="CG34" s="1"/>
      <c r="CH34" s="1"/>
      <c r="CI34" s="1"/>
      <c r="CJ34" s="1"/>
      <c r="CK34" s="1"/>
      <c r="CL34" s="1"/>
      <c r="CM34" s="1"/>
      <c r="CN34" s="1"/>
      <c r="CO34" s="1"/>
      <c r="CP34" s="1"/>
      <c r="CQ34" s="1"/>
      <c r="CR34" s="1">
        <v>39738.25</v>
      </c>
      <c r="CS34" s="1"/>
      <c r="CT34" s="1"/>
      <c r="CU34" s="1"/>
      <c r="CV34" s="1"/>
      <c r="CW34" s="1"/>
      <c r="CX34" s="1"/>
      <c r="CY34" s="1"/>
      <c r="CZ34" s="1"/>
      <c r="DA34" s="1"/>
      <c r="DB34" s="1"/>
      <c r="DC34" s="1"/>
      <c r="DD34" s="1">
        <v>40015.25</v>
      </c>
      <c r="DE34" s="1"/>
      <c r="DF34" s="1"/>
      <c r="DG34" s="1"/>
      <c r="DH34" s="1">
        <v>40021.25</v>
      </c>
      <c r="DI34" s="1"/>
      <c r="DJ34" s="1"/>
      <c r="DK34" s="1"/>
      <c r="DL34" s="1">
        <v>40032.25</v>
      </c>
      <c r="DM34" s="1"/>
      <c r="DN34" s="1"/>
      <c r="DO34" s="1"/>
      <c r="DP34" s="1"/>
      <c r="DQ34" s="1"/>
      <c r="DR34" s="1"/>
      <c r="DS34" s="1"/>
      <c r="DT34" s="1"/>
      <c r="DU34" s="1"/>
      <c r="DV34" s="1"/>
      <c r="DW34" s="1"/>
      <c r="DX34" s="1"/>
      <c r="DY34" s="1">
        <v>40037.25</v>
      </c>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row>
    <row r="35" spans="1:216" x14ac:dyDescent="0.3">
      <c r="A35" s="3" t="str">
        <f>HYPERLINK("https://hpr-rps.hres.ca/reg-content/summary-basis-decision-detailOne.php?lang=en&amp;linkID=SBD00033", "Civanex MC")</f>
        <v>Civanex MC</v>
      </c>
      <c r="B35" s="1" t="s">
        <v>166</v>
      </c>
      <c r="C35" s="1" t="s">
        <v>167</v>
      </c>
      <c r="D35" s="1" t="s">
        <v>168</v>
      </c>
      <c r="E35" s="1">
        <v>39464.25</v>
      </c>
      <c r="F35" s="1"/>
      <c r="G35" s="1"/>
      <c r="H35" s="1">
        <v>39751.208333333343</v>
      </c>
      <c r="I35" s="1"/>
      <c r="J35" s="1"/>
      <c r="K35" s="1"/>
      <c r="L35" s="1"/>
      <c r="M35" s="1"/>
      <c r="N35" s="1"/>
      <c r="O35" s="1"/>
      <c r="P35" s="1"/>
      <c r="Q35" s="1"/>
      <c r="R35" s="1"/>
      <c r="S35" s="1"/>
      <c r="T35" s="1"/>
      <c r="U35" s="1"/>
      <c r="V35" s="1"/>
      <c r="W35" s="1"/>
      <c r="X35" s="1"/>
      <c r="Y35" s="1"/>
      <c r="Z35" s="1"/>
      <c r="AA35" s="1"/>
      <c r="AB35" s="1"/>
      <c r="AC35" s="1"/>
      <c r="AD35" s="1"/>
      <c r="AE35" s="1"/>
      <c r="AF35" s="1">
        <v>39801.25</v>
      </c>
      <c r="AG35" s="1"/>
      <c r="AH35" s="1"/>
      <c r="AI35" s="1"/>
      <c r="AJ35" s="1"/>
      <c r="AK35" s="1"/>
      <c r="AL35" s="1"/>
      <c r="AM35" s="1"/>
      <c r="AN35" s="1"/>
      <c r="AO35" s="1"/>
      <c r="AP35" s="1"/>
      <c r="AQ35" s="1"/>
      <c r="AR35" s="1"/>
      <c r="AS35" s="1"/>
      <c r="AT35" s="1"/>
      <c r="AU35" s="1"/>
      <c r="AV35" s="1">
        <v>40099.25</v>
      </c>
      <c r="AW35" s="1"/>
      <c r="AX35" s="1">
        <v>39996.25</v>
      </c>
      <c r="AY35" s="1"/>
      <c r="AZ35" s="1"/>
      <c r="BA35" s="1"/>
      <c r="BB35" s="1"/>
      <c r="BC35" s="1"/>
      <c r="BD35" s="1"/>
      <c r="BE35" s="1"/>
      <c r="BF35" s="1"/>
      <c r="BG35" s="1"/>
      <c r="BH35" s="1"/>
      <c r="BI35" s="1"/>
      <c r="BJ35" s="1"/>
      <c r="BK35" s="1"/>
      <c r="BL35" s="1"/>
      <c r="BM35" s="1"/>
      <c r="BN35" s="1"/>
      <c r="BO35" s="1"/>
      <c r="BP35" s="1"/>
      <c r="BQ35" s="1"/>
      <c r="BR35" s="1"/>
      <c r="BS35" s="1"/>
      <c r="BT35" s="1">
        <v>40101.25</v>
      </c>
      <c r="BU35" s="1"/>
      <c r="BV35" s="1"/>
      <c r="BW35" s="1"/>
      <c r="BX35" s="1"/>
      <c r="BY35" s="1">
        <v>40210.25</v>
      </c>
      <c r="BZ35" s="1"/>
      <c r="CA35" s="1"/>
      <c r="CB35" s="1"/>
      <c r="CC35" s="1"/>
      <c r="CD35" s="1"/>
      <c r="CE35" s="1"/>
      <c r="CF35" s="1"/>
      <c r="CG35" s="1"/>
      <c r="CH35" s="1"/>
      <c r="CI35" s="1"/>
      <c r="CJ35" s="1"/>
      <c r="CK35" s="1"/>
      <c r="CL35" s="1"/>
      <c r="CM35" s="1"/>
      <c r="CN35" s="1"/>
      <c r="CO35" s="1"/>
      <c r="CP35" s="1"/>
      <c r="CQ35" s="1"/>
      <c r="CR35" s="1">
        <v>40228.25</v>
      </c>
      <c r="CS35" s="1"/>
      <c r="CT35" s="1"/>
      <c r="CU35" s="1"/>
      <c r="CV35" s="1"/>
      <c r="CW35" s="1"/>
      <c r="CX35" s="1"/>
      <c r="CY35" s="1"/>
      <c r="CZ35" s="1"/>
      <c r="DA35" s="1"/>
      <c r="DB35" s="1"/>
      <c r="DC35" s="1"/>
      <c r="DD35" s="1">
        <v>40371.25</v>
      </c>
      <c r="DE35" s="1"/>
      <c r="DF35" s="1"/>
      <c r="DG35" s="1"/>
      <c r="DH35" s="1"/>
      <c r="DI35" s="1"/>
      <c r="DJ35" s="1"/>
      <c r="DK35" s="1"/>
      <c r="DL35" s="1">
        <v>40367.25</v>
      </c>
      <c r="DM35" s="1"/>
      <c r="DN35" s="1"/>
      <c r="DO35" s="1"/>
      <c r="DP35" s="1"/>
      <c r="DQ35" s="1"/>
      <c r="DR35" s="1"/>
      <c r="DS35" s="1"/>
      <c r="DT35" s="1"/>
      <c r="DU35" s="1"/>
      <c r="DV35" s="1"/>
      <c r="DW35" s="1"/>
      <c r="DX35" s="1"/>
      <c r="DY35" s="1">
        <v>40374.25</v>
      </c>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row>
    <row r="36" spans="1:216" x14ac:dyDescent="0.3">
      <c r="A36" s="3" t="str">
        <f>HYPERLINK("https://hpr-rps.hres.ca/reg-content/summary-basis-decision-detailOne.php?lang=en&amp;linkID=SBD00034", "Cleviprex TM")</f>
        <v>Cleviprex TM</v>
      </c>
      <c r="B36" s="1" t="s">
        <v>169</v>
      </c>
      <c r="C36" s="1" t="s">
        <v>170</v>
      </c>
      <c r="D36" s="1" t="s">
        <v>171</v>
      </c>
      <c r="E36" s="1"/>
      <c r="F36" s="1"/>
      <c r="G36" s="1"/>
      <c r="H36" s="1">
        <v>39728.25</v>
      </c>
      <c r="I36" s="1"/>
      <c r="J36" s="1"/>
      <c r="K36" s="1"/>
      <c r="L36" s="1"/>
      <c r="M36" s="1"/>
      <c r="N36" s="1"/>
      <c r="O36" s="1"/>
      <c r="P36" s="1"/>
      <c r="Q36" s="1"/>
      <c r="R36" s="1"/>
      <c r="S36" s="1"/>
      <c r="T36" s="1"/>
      <c r="U36" s="1"/>
      <c r="V36" s="1"/>
      <c r="W36" s="1"/>
      <c r="X36" s="1"/>
      <c r="Y36" s="1"/>
      <c r="Z36" s="1">
        <v>39766.25</v>
      </c>
      <c r="AA36" s="1"/>
      <c r="AB36" s="1"/>
      <c r="AC36" s="1">
        <v>39778.25</v>
      </c>
      <c r="AD36" s="1"/>
      <c r="AE36" s="1"/>
      <c r="AF36" s="1">
        <v>39818.25</v>
      </c>
      <c r="AG36" s="1"/>
      <c r="AH36" s="1"/>
      <c r="AI36" s="1"/>
      <c r="AJ36" s="1"/>
      <c r="AK36" s="1"/>
      <c r="AL36" s="1"/>
      <c r="AM36" s="1"/>
      <c r="AN36" s="1"/>
      <c r="AO36" s="1"/>
      <c r="AP36" s="1"/>
      <c r="AQ36" s="1"/>
      <c r="AR36" s="1"/>
      <c r="AS36" s="1"/>
      <c r="AT36" s="1"/>
      <c r="AU36" s="1"/>
      <c r="AV36" s="1">
        <v>40113.208333333343</v>
      </c>
      <c r="AW36" s="1"/>
      <c r="AX36" s="1"/>
      <c r="AY36" s="1"/>
      <c r="AZ36" s="1">
        <v>40114.208333333343</v>
      </c>
      <c r="BA36" s="1"/>
      <c r="BB36" s="1"/>
      <c r="BC36" s="1"/>
      <c r="BD36" s="1"/>
      <c r="BE36" s="1"/>
      <c r="BF36" s="1"/>
      <c r="BG36" s="1"/>
      <c r="BH36" s="1"/>
      <c r="BI36" s="1"/>
      <c r="BJ36" s="1"/>
      <c r="BK36" s="1"/>
      <c r="BL36" s="1"/>
      <c r="BM36" s="1"/>
      <c r="BN36" s="1"/>
      <c r="BO36" s="1"/>
      <c r="BP36" s="1"/>
      <c r="BQ36" s="1"/>
      <c r="BR36" s="1"/>
      <c r="BS36" s="1"/>
      <c r="BT36" s="1">
        <v>40116.208333333343</v>
      </c>
      <c r="BU36" s="1"/>
      <c r="BV36" s="1"/>
      <c r="BW36" s="1"/>
      <c r="BX36" s="1"/>
      <c r="BY36" s="1">
        <v>40203.25</v>
      </c>
      <c r="BZ36" s="1"/>
      <c r="CA36" s="1"/>
      <c r="CB36" s="1"/>
      <c r="CC36" s="1"/>
      <c r="CD36" s="1"/>
      <c r="CE36" s="1"/>
      <c r="CF36" s="1"/>
      <c r="CG36" s="1"/>
      <c r="CH36" s="1"/>
      <c r="CI36" s="1"/>
      <c r="CJ36" s="1"/>
      <c r="CK36" s="1"/>
      <c r="CL36" s="1"/>
      <c r="CM36" s="1"/>
      <c r="CN36" s="1"/>
      <c r="CO36" s="1"/>
      <c r="CP36" s="1"/>
      <c r="CQ36" s="1"/>
      <c r="CR36" s="1">
        <v>40253.208333333343</v>
      </c>
      <c r="CS36" s="1"/>
      <c r="CT36" s="1"/>
      <c r="CU36" s="1"/>
      <c r="CV36" s="1"/>
      <c r="CW36" s="1"/>
      <c r="CX36" s="1"/>
      <c r="CY36" s="1"/>
      <c r="CZ36" s="1"/>
      <c r="DA36" s="1"/>
      <c r="DB36" s="1"/>
      <c r="DC36" s="1"/>
      <c r="DD36" s="1">
        <v>40628.208333333343</v>
      </c>
      <c r="DE36" s="1"/>
      <c r="DF36" s="1"/>
      <c r="DG36" s="1"/>
      <c r="DH36" s="1">
        <v>40611.25</v>
      </c>
      <c r="DI36" s="1"/>
      <c r="DJ36" s="1"/>
      <c r="DK36" s="1"/>
      <c r="DL36" s="1">
        <v>40406.25</v>
      </c>
      <c r="DM36" s="1"/>
      <c r="DN36" s="1"/>
      <c r="DO36" s="1"/>
      <c r="DP36" s="1"/>
      <c r="DQ36" s="1"/>
      <c r="DR36" s="1"/>
      <c r="DS36" s="1"/>
      <c r="DT36" s="1"/>
      <c r="DU36" s="1"/>
      <c r="DV36" s="1"/>
      <c r="DW36" s="1"/>
      <c r="DX36" s="1"/>
      <c r="DY36" s="1">
        <v>40648.25</v>
      </c>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row>
    <row r="37" spans="1:216" x14ac:dyDescent="0.3">
      <c r="A37" s="3" t="str">
        <f>HYPERLINK("https://hpr-rps.hres.ca/reg-content/summary-basis-decision-detailOne.php?lang=en&amp;linkID=SBD00035", "Clolar ®")</f>
        <v>Clolar ®</v>
      </c>
      <c r="B37" s="1" t="s">
        <v>172</v>
      </c>
      <c r="C37" s="1" t="s">
        <v>161</v>
      </c>
      <c r="D37" s="1" t="s">
        <v>173</v>
      </c>
      <c r="E37" s="1">
        <v>39485.25</v>
      </c>
      <c r="F37" s="1"/>
      <c r="G37" s="1"/>
      <c r="H37" s="1">
        <v>39576.25</v>
      </c>
      <c r="I37" s="1"/>
      <c r="J37" s="1"/>
      <c r="K37" s="1"/>
      <c r="L37" s="1"/>
      <c r="M37" s="1"/>
      <c r="N37" s="1"/>
      <c r="O37" s="1"/>
      <c r="P37" s="1"/>
      <c r="Q37" s="1"/>
      <c r="R37" s="1"/>
      <c r="S37" s="1"/>
      <c r="T37" s="1"/>
      <c r="U37" s="1"/>
      <c r="V37" s="1"/>
      <c r="W37" s="1"/>
      <c r="X37" s="1"/>
      <c r="Y37" s="1"/>
      <c r="Z37" s="1">
        <v>39625.25</v>
      </c>
      <c r="AA37" s="1"/>
      <c r="AB37" s="1"/>
      <c r="AC37" s="1">
        <v>39666.25</v>
      </c>
      <c r="AD37" s="1"/>
      <c r="AE37" s="1"/>
      <c r="AF37" s="1">
        <v>39710.25</v>
      </c>
      <c r="AG37" s="1"/>
      <c r="AH37" s="1"/>
      <c r="AI37" s="1"/>
      <c r="AJ37" s="1"/>
      <c r="AK37" s="1"/>
      <c r="AL37" s="1"/>
      <c r="AM37" s="1"/>
      <c r="AN37" s="1"/>
      <c r="AO37" s="1"/>
      <c r="AP37" s="1"/>
      <c r="AQ37" s="1"/>
      <c r="AR37" s="1">
        <v>39982.25</v>
      </c>
      <c r="AS37" s="1"/>
      <c r="AT37" s="1"/>
      <c r="AU37" s="1"/>
      <c r="AV37" s="1">
        <v>40010.25</v>
      </c>
      <c r="AW37" s="1"/>
      <c r="AX37" s="1"/>
      <c r="AY37" s="1"/>
      <c r="AZ37" s="1">
        <v>39934.25</v>
      </c>
      <c r="BA37" s="1"/>
      <c r="BB37" s="1"/>
      <c r="BC37" s="1"/>
      <c r="BD37" s="1"/>
      <c r="BE37" s="1"/>
      <c r="BF37" s="1"/>
      <c r="BG37" s="1"/>
      <c r="BH37" s="1"/>
      <c r="BI37" s="1"/>
      <c r="BJ37" s="1"/>
      <c r="BK37" s="1"/>
      <c r="BL37" s="1"/>
      <c r="BM37" s="1">
        <v>40010.25</v>
      </c>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row>
    <row r="38" spans="1:216" x14ac:dyDescent="0.3">
      <c r="A38" s="3" t="str">
        <f>HYPERLINK("https://hpr-rps.hres.ca/reg-content/summary-basis-decision-detailOne.php?lang=en&amp;linkID=SBD00040", "Cymbalta TM")</f>
        <v>Cymbalta TM</v>
      </c>
      <c r="B38" s="1" t="s">
        <v>174</v>
      </c>
      <c r="C38" s="1" t="s">
        <v>140</v>
      </c>
      <c r="D38" s="1" t="s">
        <v>175</v>
      </c>
      <c r="E38" s="1">
        <v>37271.25</v>
      </c>
      <c r="F38" s="1">
        <v>39044.25</v>
      </c>
      <c r="G38" s="1"/>
      <c r="H38" s="1"/>
      <c r="I38" s="1">
        <v>37328.25</v>
      </c>
      <c r="J38" s="1"/>
      <c r="K38" s="1"/>
      <c r="L38" s="1"/>
      <c r="M38" s="1"/>
      <c r="N38" s="1"/>
      <c r="O38" s="1"/>
      <c r="P38" s="1"/>
      <c r="Q38" s="1"/>
      <c r="R38" s="1"/>
      <c r="S38" s="1"/>
      <c r="T38" s="1"/>
      <c r="U38" s="1"/>
      <c r="V38" s="1"/>
      <c r="W38" s="1"/>
      <c r="X38" s="1">
        <v>37799.25</v>
      </c>
      <c r="Y38" s="1">
        <v>37992.25</v>
      </c>
      <c r="Z38" s="1">
        <v>37309.25</v>
      </c>
      <c r="AA38" s="1">
        <v>38006.25</v>
      </c>
      <c r="AB38" s="1"/>
      <c r="AC38" s="1">
        <v>37326.25</v>
      </c>
      <c r="AD38" s="1"/>
      <c r="AE38" s="1"/>
      <c r="AF38" s="1">
        <v>38224.25</v>
      </c>
      <c r="AG38" s="1"/>
      <c r="AH38" s="1"/>
      <c r="AI38" s="1">
        <v>39386.208333333343</v>
      </c>
      <c r="AJ38" s="1"/>
      <c r="AK38" s="1"/>
      <c r="AL38" s="1"/>
      <c r="AM38" s="1">
        <v>39387.208333333343</v>
      </c>
      <c r="AN38" s="1"/>
      <c r="AO38" s="1"/>
      <c r="AP38" s="1"/>
      <c r="AQ38" s="1"/>
      <c r="AR38" s="1"/>
      <c r="AS38" s="1">
        <v>37875.25</v>
      </c>
      <c r="AT38" s="1"/>
      <c r="AU38" s="1"/>
      <c r="AV38" s="1">
        <v>39385.208333333343</v>
      </c>
      <c r="AW38" s="1"/>
      <c r="AX38" s="1"/>
      <c r="AY38" s="1"/>
      <c r="AZ38" s="1">
        <v>39385.208333333343</v>
      </c>
      <c r="BA38" s="1"/>
      <c r="BB38" s="1"/>
      <c r="BC38" s="1"/>
      <c r="BD38" s="1"/>
      <c r="BE38" s="1"/>
      <c r="BF38" s="1">
        <v>39087.25</v>
      </c>
      <c r="BG38" s="1"/>
      <c r="BH38" s="1"/>
      <c r="BI38" s="1"/>
      <c r="BJ38" s="1"/>
      <c r="BK38" s="1"/>
      <c r="BL38" s="1"/>
      <c r="BM38" s="1"/>
      <c r="BN38" s="1"/>
      <c r="BO38" s="1"/>
      <c r="BP38" s="1"/>
      <c r="BQ38" s="1"/>
      <c r="BR38" s="1">
        <v>38181.25</v>
      </c>
      <c r="BS38" s="1"/>
      <c r="BT38" s="1"/>
      <c r="BU38" s="1"/>
      <c r="BV38" s="1"/>
      <c r="BW38" s="1"/>
      <c r="BX38" s="1"/>
      <c r="BY38" s="1"/>
      <c r="BZ38" s="1"/>
      <c r="CA38" s="1"/>
      <c r="CB38" s="1"/>
      <c r="CC38" s="1"/>
      <c r="CD38" s="1"/>
      <c r="CE38" s="1"/>
      <c r="CF38" s="1"/>
      <c r="CG38" s="1"/>
      <c r="CH38" s="1">
        <v>38414.25</v>
      </c>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row>
    <row r="39" spans="1:216" x14ac:dyDescent="0.3">
      <c r="A39" s="3" t="str">
        <f>HYPERLINK("https://hpr-rps.hres.ca/reg-content/summary-basis-decision-detailOne.php?lang=en&amp;linkID=SBD00037", "Coversyl ®")</f>
        <v>Coversyl ®</v>
      </c>
      <c r="B39" s="1" t="s">
        <v>176</v>
      </c>
      <c r="C39" s="1" t="s">
        <v>177</v>
      </c>
      <c r="D39" s="1" t="s">
        <v>178</v>
      </c>
      <c r="E39" s="1"/>
      <c r="F39" s="1"/>
      <c r="G39" s="1"/>
      <c r="H39" s="1">
        <v>38153.25</v>
      </c>
      <c r="I39" s="1"/>
      <c r="J39" s="1"/>
      <c r="K39" s="1"/>
      <c r="L39" s="1"/>
      <c r="M39" s="1"/>
      <c r="N39" s="1"/>
      <c r="O39" s="1"/>
      <c r="P39" s="1"/>
      <c r="Q39" s="1"/>
      <c r="R39" s="1"/>
      <c r="S39" s="1"/>
      <c r="T39" s="1"/>
      <c r="U39" s="1"/>
      <c r="V39" s="1"/>
      <c r="W39" s="1"/>
      <c r="X39" s="1"/>
      <c r="Y39" s="1"/>
      <c r="Z39" s="1">
        <v>38197.25</v>
      </c>
      <c r="AA39" s="1"/>
      <c r="AB39" s="1"/>
      <c r="AC39" s="1">
        <v>38243.25</v>
      </c>
      <c r="AD39" s="1"/>
      <c r="AE39" s="1"/>
      <c r="AF39" s="1">
        <v>38287.25</v>
      </c>
      <c r="AG39" s="1"/>
      <c r="AH39" s="1"/>
      <c r="AI39" s="1"/>
      <c r="AJ39" s="1"/>
      <c r="AK39" s="1"/>
      <c r="AL39" s="1"/>
      <c r="AM39" s="1"/>
      <c r="AN39" s="1"/>
      <c r="AO39" s="1"/>
      <c r="AP39" s="1"/>
      <c r="AQ39" s="1"/>
      <c r="AR39" s="1"/>
      <c r="AS39" s="1">
        <v>38482.25</v>
      </c>
      <c r="AT39" s="1"/>
      <c r="AU39" s="1"/>
      <c r="AV39" s="1">
        <v>38537.25</v>
      </c>
      <c r="AW39" s="1"/>
      <c r="AX39" s="1"/>
      <c r="AY39" s="1"/>
      <c r="AZ39" s="1">
        <v>38572.25</v>
      </c>
      <c r="BA39" s="1"/>
      <c r="BB39" s="1"/>
      <c r="BC39" s="1"/>
      <c r="BD39" s="1"/>
      <c r="BE39" s="1">
        <v>38580.25</v>
      </c>
      <c r="BF39" s="1"/>
      <c r="BG39" s="1"/>
      <c r="BH39" s="1"/>
      <c r="BI39" s="1"/>
      <c r="BJ39" s="1"/>
      <c r="BK39" s="1"/>
      <c r="BL39" s="1"/>
      <c r="BM39" s="1">
        <v>38587.25</v>
      </c>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row>
    <row r="40" spans="1:216" x14ac:dyDescent="0.3">
      <c r="A40" s="3" t="str">
        <f>HYPERLINK("https://hpr-rps.hres.ca/reg-content/summary-basis-decision-detailOne.php?lang=en&amp;linkID=SBD00039", "Cubicin ®")</f>
        <v>Cubicin ®</v>
      </c>
      <c r="B40" s="1" t="s">
        <v>179</v>
      </c>
      <c r="C40" s="1" t="s">
        <v>180</v>
      </c>
      <c r="D40" s="1" t="s">
        <v>181</v>
      </c>
      <c r="E40" s="1"/>
      <c r="F40" s="1"/>
      <c r="G40" s="1"/>
      <c r="H40" s="1"/>
      <c r="I40" s="1"/>
      <c r="J40" s="1"/>
      <c r="K40" s="1"/>
      <c r="L40" s="1"/>
      <c r="M40" s="1"/>
      <c r="N40" s="1"/>
      <c r="O40" s="1"/>
      <c r="P40" s="1"/>
      <c r="Q40" s="1"/>
      <c r="R40" s="1"/>
      <c r="S40" s="1"/>
      <c r="T40" s="1"/>
      <c r="U40" s="1"/>
      <c r="V40" s="1"/>
      <c r="W40" s="1"/>
      <c r="X40" s="1">
        <v>39114.25</v>
      </c>
      <c r="Y40" s="1">
        <v>39099.25</v>
      </c>
      <c r="Z40" s="1">
        <v>38715.25</v>
      </c>
      <c r="AA40" s="1">
        <v>39120.25</v>
      </c>
      <c r="AB40" s="1"/>
      <c r="AC40" s="1">
        <v>38755.25</v>
      </c>
      <c r="AD40" s="1"/>
      <c r="AE40" s="1"/>
      <c r="AF40" s="1">
        <v>38799.25</v>
      </c>
      <c r="AG40" s="1"/>
      <c r="AH40" s="1"/>
      <c r="AI40" s="1">
        <v>39030.25</v>
      </c>
      <c r="AJ40" s="1"/>
      <c r="AK40" s="1"/>
      <c r="AL40" s="1"/>
      <c r="AM40" s="1">
        <v>39349.25</v>
      </c>
      <c r="AN40" s="1"/>
      <c r="AO40" s="1"/>
      <c r="AP40" s="1"/>
      <c r="AQ40" s="1"/>
      <c r="AR40" s="1">
        <v>39344.25</v>
      </c>
      <c r="AS40" s="1"/>
      <c r="AT40" s="1"/>
      <c r="AU40" s="1"/>
      <c r="AV40" s="1">
        <v>39199.25</v>
      </c>
      <c r="AW40" s="1"/>
      <c r="AX40" s="1"/>
      <c r="AY40" s="1"/>
      <c r="AZ40" s="1">
        <v>39345.25</v>
      </c>
      <c r="BA40" s="1"/>
      <c r="BB40" s="1"/>
      <c r="BC40" s="1"/>
      <c r="BD40" s="1"/>
      <c r="BE40" s="1"/>
      <c r="BF40" s="1">
        <v>39199.25</v>
      </c>
      <c r="BG40" s="1"/>
      <c r="BH40" s="1"/>
      <c r="BI40" s="1"/>
      <c r="BJ40" s="1"/>
      <c r="BK40" s="1"/>
      <c r="BL40" s="1"/>
      <c r="BM40" s="1"/>
      <c r="BN40" s="1"/>
      <c r="BO40" s="1"/>
      <c r="BP40" s="1"/>
      <c r="BQ40" s="1"/>
      <c r="BR40" s="1"/>
      <c r="BS40" s="1"/>
      <c r="BT40" s="1"/>
      <c r="BU40" s="1"/>
      <c r="BV40" s="1"/>
      <c r="BW40" s="1"/>
      <c r="BX40" s="1"/>
      <c r="BY40" s="1">
        <v>39192.25</v>
      </c>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v>39114.25</v>
      </c>
      <c r="EW40" s="1">
        <v>39099.25</v>
      </c>
      <c r="EX40" s="1"/>
      <c r="EY40" s="1">
        <v>39120.25</v>
      </c>
      <c r="EZ40" s="1"/>
      <c r="FA40" s="1">
        <v>39192.25</v>
      </c>
      <c r="FB40" s="1"/>
      <c r="FC40" s="1"/>
      <c r="FD40" s="1">
        <v>38820.25</v>
      </c>
      <c r="FE40" s="1"/>
      <c r="FF40" s="1"/>
      <c r="FG40" s="1">
        <v>39029.25</v>
      </c>
      <c r="FH40" s="1"/>
      <c r="FI40" s="1"/>
      <c r="FJ40" s="1"/>
      <c r="FK40" s="1">
        <v>39349.25</v>
      </c>
      <c r="FL40" s="1"/>
      <c r="FM40" s="1"/>
      <c r="FN40" s="1"/>
      <c r="FO40" s="1"/>
      <c r="FP40" s="1">
        <v>39344.25</v>
      </c>
      <c r="FQ40" s="1"/>
      <c r="FR40" s="1"/>
      <c r="FS40" s="1"/>
      <c r="FT40" s="1">
        <v>39343.25</v>
      </c>
      <c r="FU40" s="1"/>
      <c r="FV40" s="1"/>
      <c r="FW40" s="1"/>
      <c r="FX40" s="1">
        <v>39345.25</v>
      </c>
      <c r="FY40" s="1"/>
      <c r="FZ40" s="1"/>
      <c r="GA40" s="1"/>
      <c r="GB40" s="1"/>
      <c r="GC40" s="1"/>
      <c r="GD40" s="1">
        <v>39199.25</v>
      </c>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row>
    <row r="41" spans="1:216" x14ac:dyDescent="0.3">
      <c r="A41" s="3" t="str">
        <f>HYPERLINK("https://hpr-rps.hres.ca/reg-content/summary-basis-decision-detailOne.php?lang=en&amp;linkID=SBD00051", "Eloxatin ®")</f>
        <v>Eloxatin ®</v>
      </c>
      <c r="B41" s="1" t="s">
        <v>182</v>
      </c>
      <c r="C41" s="1" t="s">
        <v>102</v>
      </c>
      <c r="D41" s="1" t="s">
        <v>183</v>
      </c>
      <c r="E41" s="1">
        <v>38930.25</v>
      </c>
      <c r="F41" s="1"/>
      <c r="G41" s="1"/>
      <c r="H41" s="1"/>
      <c r="I41" s="1"/>
      <c r="J41" s="1"/>
      <c r="K41" s="1"/>
      <c r="L41" s="1"/>
      <c r="M41" s="1"/>
      <c r="N41" s="1">
        <v>39006.25</v>
      </c>
      <c r="O41" s="1"/>
      <c r="P41" s="1"/>
      <c r="Q41" s="1"/>
      <c r="R41" s="1"/>
      <c r="S41" s="1">
        <v>39038.25</v>
      </c>
      <c r="T41" s="1"/>
      <c r="U41" s="1"/>
      <c r="V41" s="1">
        <v>39041.25</v>
      </c>
      <c r="W41" s="1"/>
      <c r="X41" s="1"/>
      <c r="Y41" s="1"/>
      <c r="Z41" s="1"/>
      <c r="AA41" s="1"/>
      <c r="AB41" s="1"/>
      <c r="AC41" s="1"/>
      <c r="AD41" s="1"/>
      <c r="AE41" s="1"/>
      <c r="AF41" s="1">
        <v>39073.25</v>
      </c>
      <c r="AG41" s="1"/>
      <c r="AH41" s="1"/>
      <c r="AI41" s="1"/>
      <c r="AJ41" s="1"/>
      <c r="AK41" s="1"/>
      <c r="AL41" s="1"/>
      <c r="AM41" s="1"/>
      <c r="AN41" s="1"/>
      <c r="AO41" s="1"/>
      <c r="AP41" s="1"/>
      <c r="AQ41" s="1"/>
      <c r="AR41" s="1">
        <v>39246.25</v>
      </c>
      <c r="AS41" s="1"/>
      <c r="AT41" s="1"/>
      <c r="AU41" s="1"/>
      <c r="AV41" s="1">
        <v>39237.25</v>
      </c>
      <c r="AW41" s="1"/>
      <c r="AX41" s="1">
        <v>39196.25</v>
      </c>
      <c r="AY41" s="1"/>
      <c r="AZ41" s="1">
        <v>39248.25</v>
      </c>
      <c r="BA41" s="1"/>
      <c r="BB41" s="1"/>
      <c r="BC41" s="1"/>
      <c r="BD41" s="1"/>
      <c r="BE41" s="1"/>
      <c r="BF41" s="1"/>
      <c r="BG41" s="1"/>
      <c r="BH41" s="1"/>
      <c r="BI41" s="1"/>
      <c r="BJ41" s="1"/>
      <c r="BK41" s="1"/>
      <c r="BL41" s="1"/>
      <c r="BM41" s="1">
        <v>39248.25</v>
      </c>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row>
    <row r="42" spans="1:216" x14ac:dyDescent="0.3">
      <c r="A42" s="3" t="str">
        <f>HYPERLINK("https://hpr-rps.hres.ca/reg-content/summary-basis-decision-detailOne.php?lang=en&amp;linkID=SBD00041", "Daxas TM")</f>
        <v>Daxas TM</v>
      </c>
      <c r="B42" s="1" t="s">
        <v>184</v>
      </c>
      <c r="C42" s="1" t="s">
        <v>185</v>
      </c>
      <c r="D42" s="1" t="s">
        <v>186</v>
      </c>
      <c r="E42" s="1">
        <v>38013.25</v>
      </c>
      <c r="F42" s="1"/>
      <c r="G42" s="1"/>
      <c r="H42" s="1"/>
      <c r="I42" s="1"/>
      <c r="J42" s="1"/>
      <c r="K42" s="1"/>
      <c r="L42" s="1"/>
      <c r="M42" s="1"/>
      <c r="N42" s="1">
        <v>39993.25</v>
      </c>
      <c r="O42" s="1"/>
      <c r="P42" s="1"/>
      <c r="Q42" s="1"/>
      <c r="R42" s="1"/>
      <c r="S42" s="1"/>
      <c r="T42" s="1">
        <v>40023.25</v>
      </c>
      <c r="U42" s="1"/>
      <c r="V42" s="1">
        <v>40035.25</v>
      </c>
      <c r="W42" s="1"/>
      <c r="X42" s="1"/>
      <c r="Y42" s="1"/>
      <c r="Z42" s="1"/>
      <c r="AA42" s="1"/>
      <c r="AB42" s="1"/>
      <c r="AC42" s="1"/>
      <c r="AD42" s="1"/>
      <c r="AE42" s="1"/>
      <c r="AF42" s="1">
        <v>40087.25</v>
      </c>
      <c r="AG42" s="1"/>
      <c r="AH42" s="1"/>
      <c r="AI42" s="1"/>
      <c r="AJ42" s="1"/>
      <c r="AK42" s="1"/>
      <c r="AL42" s="1"/>
      <c r="AM42" s="1"/>
      <c r="AN42" s="1"/>
      <c r="AO42" s="1"/>
      <c r="AP42" s="1"/>
      <c r="AQ42" s="1"/>
      <c r="AR42" s="1">
        <v>40498.25</v>
      </c>
      <c r="AS42" s="1">
        <v>40451.25</v>
      </c>
      <c r="AT42" s="1"/>
      <c r="AU42" s="1"/>
      <c r="AV42" s="1">
        <v>40480.25</v>
      </c>
      <c r="AW42" s="1"/>
      <c r="AX42" s="1"/>
      <c r="AY42" s="1"/>
      <c r="AZ42" s="1">
        <v>40498.25</v>
      </c>
      <c r="BA42" s="1"/>
      <c r="BB42" s="1"/>
      <c r="BC42" s="1"/>
      <c r="BD42" s="1"/>
      <c r="BE42" s="1"/>
      <c r="BF42" s="1"/>
      <c r="BG42" s="1"/>
      <c r="BH42" s="1"/>
      <c r="BI42" s="1"/>
      <c r="BJ42" s="1"/>
      <c r="BK42" s="1"/>
      <c r="BL42" s="1"/>
      <c r="BM42" s="1">
        <v>40505.25</v>
      </c>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row>
    <row r="43" spans="1:216" x14ac:dyDescent="0.3">
      <c r="A43" s="3" t="str">
        <f>HYPERLINK("https://hpr-rps.hres.ca/reg-content/summary-basis-decision-detailOne.php?lang=en&amp;linkID=SBD00042", "Dexilant TM")</f>
        <v>Dexilant TM</v>
      </c>
      <c r="B43" s="1" t="s">
        <v>187</v>
      </c>
      <c r="C43" s="1" t="s">
        <v>188</v>
      </c>
      <c r="D43" s="1" t="s">
        <v>189</v>
      </c>
      <c r="E43" s="1">
        <v>39968.25</v>
      </c>
      <c r="F43" s="1"/>
      <c r="G43" s="1"/>
      <c r="H43" s="1">
        <v>40036.25</v>
      </c>
      <c r="I43" s="1"/>
      <c r="J43" s="1"/>
      <c r="K43" s="1"/>
      <c r="L43" s="1"/>
      <c r="M43" s="1"/>
      <c r="N43" s="1"/>
      <c r="O43" s="1"/>
      <c r="P43" s="1"/>
      <c r="Q43" s="1"/>
      <c r="R43" s="1"/>
      <c r="S43" s="1"/>
      <c r="T43" s="1"/>
      <c r="U43" s="1"/>
      <c r="V43" s="1"/>
      <c r="W43" s="1"/>
      <c r="X43" s="1"/>
      <c r="Y43" s="1"/>
      <c r="Z43" s="1"/>
      <c r="AA43" s="1"/>
      <c r="AB43" s="1"/>
      <c r="AC43" s="1"/>
      <c r="AD43" s="1"/>
      <c r="AE43" s="1"/>
      <c r="AF43" s="1">
        <v>40081.25</v>
      </c>
      <c r="AG43" s="1"/>
      <c r="AH43" s="1"/>
      <c r="AI43" s="1"/>
      <c r="AJ43" s="1"/>
      <c r="AK43" s="1"/>
      <c r="AL43" s="1"/>
      <c r="AM43" s="1"/>
      <c r="AN43" s="1"/>
      <c r="AO43" s="1"/>
      <c r="AP43" s="1"/>
      <c r="AQ43" s="1"/>
      <c r="AR43" s="1">
        <v>40375.25</v>
      </c>
      <c r="AS43" s="1">
        <v>40378.25</v>
      </c>
      <c r="AT43" s="1"/>
      <c r="AU43" s="1"/>
      <c r="AV43" s="1">
        <v>40380.25</v>
      </c>
      <c r="AW43" s="1"/>
      <c r="AX43" s="1"/>
      <c r="AY43" s="1"/>
      <c r="AZ43" s="1">
        <v>40374.25</v>
      </c>
      <c r="BA43" s="1"/>
      <c r="BB43" s="1"/>
      <c r="BC43" s="1"/>
      <c r="BD43" s="1"/>
      <c r="BE43" s="1"/>
      <c r="BF43" s="1"/>
      <c r="BG43" s="1"/>
      <c r="BH43" s="1"/>
      <c r="BI43" s="1"/>
      <c r="BJ43" s="1"/>
      <c r="BK43" s="1"/>
      <c r="BL43" s="1"/>
      <c r="BM43" s="1">
        <v>40381.25</v>
      </c>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row>
    <row r="44" spans="1:216" x14ac:dyDescent="0.3">
      <c r="A44" s="3" t="str">
        <f>HYPERLINK("https://hpr-rps.hres.ca/reg-content/summary-basis-decision-detailOne.php?lang=en&amp;linkID=SBD00043", "Dificid TM")</f>
        <v>Dificid TM</v>
      </c>
      <c r="B44" s="1" t="s">
        <v>190</v>
      </c>
      <c r="C44" s="1" t="s">
        <v>191</v>
      </c>
      <c r="D44" s="1" t="s">
        <v>192</v>
      </c>
      <c r="E44" s="1">
        <v>40781.25</v>
      </c>
      <c r="F44" s="1"/>
      <c r="G44" s="1"/>
      <c r="H44" s="1"/>
      <c r="I44" s="1"/>
      <c r="J44" s="1"/>
      <c r="K44" s="1"/>
      <c r="L44" s="1"/>
      <c r="M44" s="1"/>
      <c r="N44" s="1">
        <v>40799.25</v>
      </c>
      <c r="O44" s="1"/>
      <c r="P44" s="1"/>
      <c r="Q44" s="1"/>
      <c r="R44" s="1"/>
      <c r="S44" s="1">
        <v>40829.25</v>
      </c>
      <c r="T44" s="1"/>
      <c r="U44" s="1"/>
      <c r="V44" s="1">
        <v>40849.208333333343</v>
      </c>
      <c r="W44" s="1"/>
      <c r="X44" s="1"/>
      <c r="Y44" s="1"/>
      <c r="Z44" s="1"/>
      <c r="AA44" s="1"/>
      <c r="AB44" s="1"/>
      <c r="AC44" s="1"/>
      <c r="AD44" s="1"/>
      <c r="AE44" s="1"/>
      <c r="AF44" s="1">
        <v>40891.25</v>
      </c>
      <c r="AG44" s="1"/>
      <c r="AH44" s="1"/>
      <c r="AI44" s="1"/>
      <c r="AJ44" s="1"/>
      <c r="AK44" s="1"/>
      <c r="AL44" s="1"/>
      <c r="AM44" s="1"/>
      <c r="AN44" s="1"/>
      <c r="AO44" s="1"/>
      <c r="AP44" s="1"/>
      <c r="AQ44" s="1"/>
      <c r="AR44" s="1">
        <v>41059.25</v>
      </c>
      <c r="AS44" s="1"/>
      <c r="AT44" s="1"/>
      <c r="AU44" s="1"/>
      <c r="AV44" s="1">
        <v>41019.25</v>
      </c>
      <c r="AW44" s="1"/>
      <c r="AX44" s="1"/>
      <c r="AY44" s="1"/>
      <c r="AZ44" s="1">
        <v>41064.25</v>
      </c>
      <c r="BA44" s="1"/>
      <c r="BB44" s="1"/>
      <c r="BC44" s="1"/>
      <c r="BD44" s="1"/>
      <c r="BE44" s="1"/>
      <c r="BF44" s="1"/>
      <c r="BG44" s="1"/>
      <c r="BH44" s="1"/>
      <c r="BI44" s="1"/>
      <c r="BJ44" s="1"/>
      <c r="BK44" s="1"/>
      <c r="BL44" s="1"/>
      <c r="BM44" s="1">
        <v>41067.25</v>
      </c>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row>
    <row r="45" spans="1:216" x14ac:dyDescent="0.3">
      <c r="A45" s="3" t="str">
        <f>HYPERLINK("https://hpr-rps.hres.ca/reg-content/summary-basis-decision-detailOne.php?lang=en&amp;linkID=SBD00047", "Effient TM")</f>
        <v>Effient TM</v>
      </c>
      <c r="B45" s="1" t="s">
        <v>193</v>
      </c>
      <c r="C45" s="1" t="s">
        <v>140</v>
      </c>
      <c r="D45" s="1" t="s">
        <v>194</v>
      </c>
      <c r="E45" s="1">
        <v>39500.25</v>
      </c>
      <c r="F45" s="1"/>
      <c r="G45" s="1"/>
      <c r="H45" s="1"/>
      <c r="I45" s="1"/>
      <c r="J45" s="1"/>
      <c r="K45" s="1"/>
      <c r="L45" s="1"/>
      <c r="M45" s="1"/>
      <c r="N45" s="1">
        <v>39506.25</v>
      </c>
      <c r="O45" s="1"/>
      <c r="P45" s="1"/>
      <c r="Q45" s="1"/>
      <c r="R45" s="1"/>
      <c r="S45" s="1"/>
      <c r="T45" s="1">
        <v>39538.25</v>
      </c>
      <c r="U45" s="1"/>
      <c r="V45" s="1">
        <v>39541.25</v>
      </c>
      <c r="W45" s="1"/>
      <c r="X45" s="1"/>
      <c r="Y45" s="1"/>
      <c r="Z45" s="1"/>
      <c r="AA45" s="1"/>
      <c r="AB45" s="1"/>
      <c r="AC45" s="1"/>
      <c r="AD45" s="1"/>
      <c r="AE45" s="1"/>
      <c r="AF45" s="1">
        <v>39591.25</v>
      </c>
      <c r="AG45" s="1"/>
      <c r="AH45" s="1"/>
      <c r="AI45" s="1"/>
      <c r="AJ45" s="1"/>
      <c r="AK45" s="1"/>
      <c r="AL45" s="1"/>
      <c r="AM45" s="1"/>
      <c r="AN45" s="1"/>
      <c r="AO45" s="1"/>
      <c r="AP45" s="1"/>
      <c r="AQ45" s="1"/>
      <c r="AR45" s="1"/>
      <c r="AS45" s="1">
        <v>39917.25</v>
      </c>
      <c r="AT45" s="1"/>
      <c r="AU45" s="1"/>
      <c r="AV45" s="1">
        <v>39888.208333333343</v>
      </c>
      <c r="AW45" s="1"/>
      <c r="AX45" s="1"/>
      <c r="AY45" s="1"/>
      <c r="AZ45" s="1">
        <v>39891.208333333343</v>
      </c>
      <c r="BA45" s="1"/>
      <c r="BB45" s="1"/>
      <c r="BC45" s="1"/>
      <c r="BD45" s="1"/>
      <c r="BE45" s="1"/>
      <c r="BF45" s="1"/>
      <c r="BG45" s="1"/>
      <c r="BH45" s="1"/>
      <c r="BI45" s="1"/>
      <c r="BJ45" s="1"/>
      <c r="BK45" s="1"/>
      <c r="BL45" s="1"/>
      <c r="BM45" s="1"/>
      <c r="BN45" s="1"/>
      <c r="BO45" s="1"/>
      <c r="BP45" s="1"/>
      <c r="BQ45" s="1"/>
      <c r="BR45" s="1"/>
      <c r="BS45" s="1"/>
      <c r="BT45" s="1">
        <v>39996.25</v>
      </c>
      <c r="BU45" s="1"/>
      <c r="BV45" s="1"/>
      <c r="BW45" s="1"/>
      <c r="BX45" s="1"/>
      <c r="BY45" s="1">
        <v>40099.25</v>
      </c>
      <c r="BZ45" s="1"/>
      <c r="CA45" s="1"/>
      <c r="CB45" s="1"/>
      <c r="CC45" s="1"/>
      <c r="CD45" s="1"/>
      <c r="CE45" s="1"/>
      <c r="CF45" s="1"/>
      <c r="CG45" s="1"/>
      <c r="CH45" s="1"/>
      <c r="CI45" s="1"/>
      <c r="CJ45" s="1"/>
      <c r="CK45" s="1"/>
      <c r="CL45" s="1"/>
      <c r="CM45" s="1"/>
      <c r="CN45" s="1"/>
      <c r="CO45" s="1"/>
      <c r="CP45" s="1"/>
      <c r="CQ45" s="1"/>
      <c r="CR45" s="1">
        <v>40135.25</v>
      </c>
      <c r="CS45" s="1"/>
      <c r="CT45" s="1"/>
      <c r="CU45" s="1"/>
      <c r="CV45" s="1"/>
      <c r="CW45" s="1"/>
      <c r="CX45" s="1"/>
      <c r="CY45" s="1"/>
      <c r="CZ45" s="1"/>
      <c r="DA45" s="1"/>
      <c r="DB45" s="1"/>
      <c r="DC45" s="1"/>
      <c r="DD45" s="1">
        <v>40284.25</v>
      </c>
      <c r="DE45" s="1">
        <v>40283.25</v>
      </c>
      <c r="DF45" s="1"/>
      <c r="DG45" s="1"/>
      <c r="DH45" s="1">
        <v>40284.25</v>
      </c>
      <c r="DI45" s="1"/>
      <c r="DJ45" s="1"/>
      <c r="DK45" s="1"/>
      <c r="DL45" s="1">
        <v>40284.25</v>
      </c>
      <c r="DM45" s="1"/>
      <c r="DN45" s="1"/>
      <c r="DO45" s="1"/>
      <c r="DP45" s="1"/>
      <c r="DQ45" s="1"/>
      <c r="DR45" s="1"/>
      <c r="DS45" s="1"/>
      <c r="DT45" s="1"/>
      <c r="DU45" s="1"/>
      <c r="DV45" s="1"/>
      <c r="DW45" s="1"/>
      <c r="DX45" s="1"/>
      <c r="DY45" s="1">
        <v>40284.25</v>
      </c>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row>
    <row r="46" spans="1:216" x14ac:dyDescent="0.3">
      <c r="A46" s="3" t="str">
        <f>HYPERLINK("https://hpr-rps.hres.ca/reg-content/summary-basis-decision-detailOne.php?lang=en&amp;linkID=SBD00044", "Doribax")</f>
        <v>Doribax</v>
      </c>
      <c r="B46" s="1" t="s">
        <v>195</v>
      </c>
      <c r="C46" s="1" t="s">
        <v>196</v>
      </c>
      <c r="D46" s="1" t="s">
        <v>197</v>
      </c>
      <c r="E46" s="1"/>
      <c r="F46" s="1"/>
      <c r="G46" s="1"/>
      <c r="H46" s="1">
        <v>39349.25</v>
      </c>
      <c r="I46" s="1"/>
      <c r="J46" s="1"/>
      <c r="K46" s="1"/>
      <c r="L46" s="1"/>
      <c r="M46" s="1"/>
      <c r="N46" s="1"/>
      <c r="O46" s="1"/>
      <c r="P46" s="1"/>
      <c r="Q46" s="1"/>
      <c r="R46" s="1"/>
      <c r="S46" s="1"/>
      <c r="T46" s="1"/>
      <c r="U46" s="1"/>
      <c r="V46" s="1"/>
      <c r="W46" s="1"/>
      <c r="X46" s="1"/>
      <c r="Y46" s="1"/>
      <c r="Z46" s="1"/>
      <c r="AA46" s="1"/>
      <c r="AB46" s="1"/>
      <c r="AC46" s="1"/>
      <c r="AD46" s="1"/>
      <c r="AE46" s="1"/>
      <c r="AF46" s="1">
        <v>39400.25</v>
      </c>
      <c r="AG46" s="1"/>
      <c r="AH46" s="1"/>
      <c r="AI46" s="1"/>
      <c r="AJ46" s="1"/>
      <c r="AK46" s="1"/>
      <c r="AL46" s="1"/>
      <c r="AM46" s="1"/>
      <c r="AN46" s="1"/>
      <c r="AO46" s="1"/>
      <c r="AP46" s="1"/>
      <c r="AQ46" s="1"/>
      <c r="AR46" s="1"/>
      <c r="AS46" s="1"/>
      <c r="AT46" s="1"/>
      <c r="AU46" s="1"/>
      <c r="AV46" s="1">
        <v>39638.25</v>
      </c>
      <c r="AW46" s="1"/>
      <c r="AX46" s="1"/>
      <c r="AY46" s="1"/>
      <c r="AZ46" s="1"/>
      <c r="BA46" s="1"/>
      <c r="BB46" s="1"/>
      <c r="BC46" s="1"/>
      <c r="BD46" s="1"/>
      <c r="BE46" s="1"/>
      <c r="BF46" s="1"/>
      <c r="BG46" s="1"/>
      <c r="BH46" s="1"/>
      <c r="BI46" s="1"/>
      <c r="BJ46" s="1"/>
      <c r="BK46" s="1"/>
      <c r="BL46" s="1"/>
      <c r="BM46" s="1"/>
      <c r="BN46" s="1"/>
      <c r="BO46" s="1"/>
      <c r="BP46" s="1">
        <v>39644.25</v>
      </c>
      <c r="BQ46" s="1"/>
      <c r="BR46" s="1"/>
      <c r="BS46" s="1"/>
      <c r="BT46" s="1"/>
      <c r="BU46" s="1"/>
      <c r="BV46" s="1"/>
      <c r="BW46" s="1"/>
      <c r="BX46" s="1"/>
      <c r="BY46" s="1">
        <v>39730.25</v>
      </c>
      <c r="BZ46" s="1"/>
      <c r="CA46" s="1"/>
      <c r="CB46" s="1"/>
      <c r="CC46" s="1"/>
      <c r="CD46" s="1"/>
      <c r="CE46" s="1"/>
      <c r="CF46" s="1"/>
      <c r="CG46" s="1"/>
      <c r="CH46" s="1"/>
      <c r="CI46" s="1"/>
      <c r="CJ46" s="1"/>
      <c r="CK46" s="1"/>
      <c r="CL46" s="1"/>
      <c r="CM46" s="1"/>
      <c r="CN46" s="1"/>
      <c r="CO46" s="1"/>
      <c r="CP46" s="1"/>
      <c r="CQ46" s="1"/>
      <c r="CR46" s="1">
        <v>39758.25</v>
      </c>
      <c r="CS46" s="1"/>
      <c r="CT46" s="1"/>
      <c r="CU46" s="1"/>
      <c r="CV46" s="1"/>
      <c r="CW46" s="1"/>
      <c r="CX46" s="1"/>
      <c r="CY46" s="1"/>
      <c r="CZ46" s="1"/>
      <c r="DA46" s="1"/>
      <c r="DB46" s="1"/>
      <c r="DC46" s="1"/>
      <c r="DD46" s="1">
        <v>40056.25</v>
      </c>
      <c r="DE46" s="1"/>
      <c r="DF46" s="1"/>
      <c r="DG46" s="1"/>
      <c r="DH46" s="1">
        <v>40056.25</v>
      </c>
      <c r="DI46" s="1"/>
      <c r="DJ46" s="1"/>
      <c r="DK46" s="1"/>
      <c r="DL46" s="1">
        <v>40045.25</v>
      </c>
      <c r="DM46" s="1"/>
      <c r="DN46" s="1"/>
      <c r="DO46" s="1"/>
      <c r="DP46" s="1"/>
      <c r="DQ46" s="1"/>
      <c r="DR46" s="1"/>
      <c r="DS46" s="1"/>
      <c r="DT46" s="1"/>
      <c r="DU46" s="1"/>
      <c r="DV46" s="1"/>
      <c r="DW46" s="1"/>
      <c r="DX46" s="1"/>
      <c r="DY46" s="1">
        <v>40058.25</v>
      </c>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row>
    <row r="47" spans="1:216" x14ac:dyDescent="0.3">
      <c r="A47" s="3" t="str">
        <f>HYPERLINK("https://hpr-rps.hres.ca/reg-content/summary-basis-decision-detailOne.php?lang=en&amp;linkID=SBD00045", "Edarbi")</f>
        <v>Edarbi</v>
      </c>
      <c r="B47" s="1" t="s">
        <v>198</v>
      </c>
      <c r="C47" s="1" t="s">
        <v>188</v>
      </c>
      <c r="D47" s="1" t="s">
        <v>199</v>
      </c>
      <c r="E47" s="1">
        <v>40556.25</v>
      </c>
      <c r="F47" s="1"/>
      <c r="G47" s="1"/>
      <c r="H47" s="1">
        <v>40630.25</v>
      </c>
      <c r="I47" s="1"/>
      <c r="J47" s="1"/>
      <c r="K47" s="1"/>
      <c r="L47" s="1"/>
      <c r="M47" s="1"/>
      <c r="N47" s="1"/>
      <c r="O47" s="1"/>
      <c r="P47" s="1"/>
      <c r="Q47" s="1"/>
      <c r="R47" s="1"/>
      <c r="S47" s="1"/>
      <c r="T47" s="1"/>
      <c r="U47" s="1"/>
      <c r="V47" s="1"/>
      <c r="W47" s="1"/>
      <c r="X47" s="1"/>
      <c r="Y47" s="1"/>
      <c r="Z47" s="1"/>
      <c r="AA47" s="1"/>
      <c r="AB47" s="1"/>
      <c r="AC47" s="1"/>
      <c r="AD47" s="1"/>
      <c r="AE47" s="1"/>
      <c r="AF47" s="1">
        <v>40676.25</v>
      </c>
      <c r="AG47" s="1"/>
      <c r="AH47" s="1"/>
      <c r="AI47" s="1"/>
      <c r="AJ47" s="1"/>
      <c r="AK47" s="1"/>
      <c r="AL47" s="1"/>
      <c r="AM47" s="1"/>
      <c r="AN47" s="1"/>
      <c r="AO47" s="1"/>
      <c r="AP47" s="1"/>
      <c r="AQ47" s="1"/>
      <c r="AR47" s="1">
        <v>40969.25</v>
      </c>
      <c r="AS47" s="1">
        <v>40855.25</v>
      </c>
      <c r="AT47" s="1"/>
      <c r="AU47" s="1"/>
      <c r="AV47" s="1">
        <v>40975.25</v>
      </c>
      <c r="AW47" s="1"/>
      <c r="AX47" s="1"/>
      <c r="AY47" s="1"/>
      <c r="AZ47" s="1">
        <v>40975.25</v>
      </c>
      <c r="BA47" s="1"/>
      <c r="BB47" s="1"/>
      <c r="BC47" s="1"/>
      <c r="BD47" s="1"/>
      <c r="BE47" s="1"/>
      <c r="BF47" s="1"/>
      <c r="BG47" s="1"/>
      <c r="BH47" s="1"/>
      <c r="BI47" s="1"/>
      <c r="BJ47" s="1"/>
      <c r="BK47" s="1"/>
      <c r="BL47" s="1"/>
      <c r="BM47" s="1">
        <v>40969.25</v>
      </c>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row>
    <row r="48" spans="1:216" x14ac:dyDescent="0.3">
      <c r="A48" s="3" t="str">
        <f>HYPERLINK("https://hpr-rps.hres.ca/reg-content/summary-basis-decision-detailOne.php?lang=en&amp;linkID=SBD00046", "Edurant TM")</f>
        <v>Edurant TM</v>
      </c>
      <c r="B48" s="1" t="s">
        <v>200</v>
      </c>
      <c r="C48" s="1" t="s">
        <v>201</v>
      </c>
      <c r="D48" s="1" t="s">
        <v>202</v>
      </c>
      <c r="E48" s="1">
        <v>40372.25</v>
      </c>
      <c r="F48" s="1"/>
      <c r="G48" s="1"/>
      <c r="H48" s="1">
        <v>40403.25</v>
      </c>
      <c r="I48" s="1"/>
      <c r="J48" s="1"/>
      <c r="K48" s="1"/>
      <c r="L48" s="1"/>
      <c r="M48" s="1"/>
      <c r="N48" s="1"/>
      <c r="O48" s="1"/>
      <c r="P48" s="1"/>
      <c r="Q48" s="1"/>
      <c r="R48" s="1"/>
      <c r="S48" s="1"/>
      <c r="T48" s="1"/>
      <c r="U48" s="1"/>
      <c r="V48" s="1"/>
      <c r="W48" s="1"/>
      <c r="X48" s="1"/>
      <c r="Y48" s="1"/>
      <c r="Z48" s="1"/>
      <c r="AA48" s="1"/>
      <c r="AB48" s="1"/>
      <c r="AC48" s="1"/>
      <c r="AD48" s="1"/>
      <c r="AE48" s="1"/>
      <c r="AF48" s="1">
        <v>40445.25</v>
      </c>
      <c r="AG48" s="1"/>
      <c r="AH48" s="1"/>
      <c r="AI48" s="1"/>
      <c r="AJ48" s="1"/>
      <c r="AK48" s="1"/>
      <c r="AL48" s="1"/>
      <c r="AM48" s="1"/>
      <c r="AN48" s="1"/>
      <c r="AO48" s="1"/>
      <c r="AP48" s="1"/>
      <c r="AQ48" s="1"/>
      <c r="AR48" s="1">
        <v>40744.25</v>
      </c>
      <c r="AS48" s="1"/>
      <c r="AT48" s="1"/>
      <c r="AU48" s="1"/>
      <c r="AV48" s="1">
        <v>40743.25</v>
      </c>
      <c r="AW48" s="1"/>
      <c r="AX48" s="1"/>
      <c r="AY48" s="1"/>
      <c r="AZ48" s="1">
        <v>40744.25</v>
      </c>
      <c r="BA48" s="1"/>
      <c r="BB48" s="1"/>
      <c r="BC48" s="1"/>
      <c r="BD48" s="1"/>
      <c r="BE48" s="1"/>
      <c r="BF48" s="1"/>
      <c r="BG48" s="1"/>
      <c r="BH48" s="1"/>
      <c r="BI48" s="1"/>
      <c r="BJ48" s="1"/>
      <c r="BK48" s="1"/>
      <c r="BL48" s="1"/>
      <c r="BM48" s="1">
        <v>40745.25</v>
      </c>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row>
    <row r="49" spans="1:216" x14ac:dyDescent="0.3">
      <c r="A49" s="3" t="str">
        <f>HYPERLINK("https://hpr-rps.hres.ca/reg-content/summary-basis-decision-detailOne.php?lang=en&amp;linkID=SBD00048", "Efracea ®")</f>
        <v>Efracea ®</v>
      </c>
      <c r="B49" s="1" t="s">
        <v>203</v>
      </c>
      <c r="C49" s="1" t="s">
        <v>204</v>
      </c>
      <c r="D49" s="1" t="s">
        <v>205</v>
      </c>
      <c r="E49" s="1"/>
      <c r="F49" s="1"/>
      <c r="G49" s="1"/>
      <c r="H49" s="1">
        <v>40514.25</v>
      </c>
      <c r="I49" s="1"/>
      <c r="J49" s="1"/>
      <c r="K49" s="1"/>
      <c r="L49" s="1"/>
      <c r="M49" s="1"/>
      <c r="N49" s="1"/>
      <c r="O49" s="1"/>
      <c r="P49" s="1"/>
      <c r="Q49" s="1"/>
      <c r="R49" s="1"/>
      <c r="S49" s="1"/>
      <c r="T49" s="1"/>
      <c r="U49" s="1"/>
      <c r="V49" s="1"/>
      <c r="W49" s="1"/>
      <c r="X49" s="1"/>
      <c r="Y49" s="1"/>
      <c r="Z49" s="1"/>
      <c r="AA49" s="1"/>
      <c r="AB49" s="1"/>
      <c r="AC49" s="1"/>
      <c r="AD49" s="1"/>
      <c r="AE49" s="1"/>
      <c r="AF49" s="1">
        <v>40567.25</v>
      </c>
      <c r="AG49" s="1"/>
      <c r="AH49" s="1"/>
      <c r="AI49" s="1"/>
      <c r="AJ49" s="1"/>
      <c r="AK49" s="1"/>
      <c r="AL49" s="1"/>
      <c r="AM49" s="1"/>
      <c r="AN49" s="1"/>
      <c r="AO49" s="1"/>
      <c r="AP49" s="1"/>
      <c r="AQ49" s="1"/>
      <c r="AR49" s="1">
        <v>40851.208333333343</v>
      </c>
      <c r="AS49" s="1">
        <v>40840.25</v>
      </c>
      <c r="AT49" s="1"/>
      <c r="AU49" s="1"/>
      <c r="AV49" s="1">
        <v>40850.208333333343</v>
      </c>
      <c r="AW49" s="1"/>
      <c r="AX49" s="1"/>
      <c r="AY49" s="1"/>
      <c r="AZ49" s="1">
        <v>40855.25</v>
      </c>
      <c r="BA49" s="1"/>
      <c r="BB49" s="1"/>
      <c r="BC49" s="1"/>
      <c r="BD49" s="1"/>
      <c r="BE49" s="1"/>
      <c r="BF49" s="1"/>
      <c r="BG49" s="1"/>
      <c r="BH49" s="1"/>
      <c r="BI49" s="1"/>
      <c r="BJ49" s="1"/>
      <c r="BK49" s="1"/>
      <c r="BL49" s="1"/>
      <c r="BM49" s="1">
        <v>40861.25</v>
      </c>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row>
    <row r="50" spans="1:216" x14ac:dyDescent="0.3">
      <c r="A50" s="3" t="str">
        <f>HYPERLINK("https://hpr-rps.hres.ca/reg-content/summary-basis-decision-detailOne.php?lang=en&amp;linkID=SBD00049", "Elaprase TM")</f>
        <v>Elaprase TM</v>
      </c>
      <c r="B50" s="1" t="s">
        <v>206</v>
      </c>
      <c r="C50" s="1" t="s">
        <v>207</v>
      </c>
      <c r="D50" s="1" t="s">
        <v>208</v>
      </c>
      <c r="E50" s="1"/>
      <c r="F50" s="1"/>
      <c r="G50" s="1"/>
      <c r="H50" s="1"/>
      <c r="I50" s="1"/>
      <c r="J50" s="1"/>
      <c r="K50" s="1"/>
      <c r="L50" s="1"/>
      <c r="M50" s="1"/>
      <c r="N50" s="1">
        <v>38979.25</v>
      </c>
      <c r="O50" s="1"/>
      <c r="P50" s="1"/>
      <c r="Q50" s="1"/>
      <c r="R50" s="1"/>
      <c r="S50" s="1">
        <v>38993.25</v>
      </c>
      <c r="T50" s="1"/>
      <c r="U50" s="1"/>
      <c r="V50" s="1">
        <v>39035.25</v>
      </c>
      <c r="W50" s="1"/>
      <c r="X50" s="1"/>
      <c r="Y50" s="1"/>
      <c r="Z50" s="1"/>
      <c r="AA50" s="1"/>
      <c r="AB50" s="1"/>
      <c r="AC50" s="1"/>
      <c r="AD50" s="1"/>
      <c r="AE50" s="1"/>
      <c r="AF50" s="1">
        <v>39066.25</v>
      </c>
      <c r="AG50" s="1"/>
      <c r="AH50" s="1"/>
      <c r="AI50" s="1"/>
      <c r="AJ50" s="1"/>
      <c r="AK50" s="1"/>
      <c r="AL50" s="1"/>
      <c r="AM50" s="1"/>
      <c r="AN50" s="1"/>
      <c r="AO50" s="1"/>
      <c r="AP50" s="1"/>
      <c r="AQ50" s="1"/>
      <c r="AR50" s="1">
        <v>39239.25</v>
      </c>
      <c r="AS50" s="1"/>
      <c r="AT50" s="1"/>
      <c r="AU50" s="1"/>
      <c r="AV50" s="1">
        <v>39244.25</v>
      </c>
      <c r="AW50" s="1"/>
      <c r="AX50" s="1"/>
      <c r="AY50" s="1"/>
      <c r="AZ50" s="1">
        <v>39246.25</v>
      </c>
      <c r="BA50" s="1"/>
      <c r="BB50" s="1"/>
      <c r="BC50" s="1"/>
      <c r="BD50" s="1"/>
      <c r="BE50" s="1"/>
      <c r="BF50" s="1"/>
      <c r="BG50" s="1"/>
      <c r="BH50" s="1"/>
      <c r="BI50" s="1"/>
      <c r="BJ50" s="1"/>
      <c r="BK50" s="1"/>
      <c r="BL50" s="1"/>
      <c r="BM50" s="1">
        <v>39246.25</v>
      </c>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row>
    <row r="51" spans="1:216" x14ac:dyDescent="0.3">
      <c r="A51" s="3" t="str">
        <f>HYPERLINK("https://hpr-rps.hres.ca/reg-content/summary-basis-decision-detailOne.php?lang=en&amp;linkID=SBD00050", "Eliquis")</f>
        <v>Eliquis</v>
      </c>
      <c r="B51" s="1" t="s">
        <v>209</v>
      </c>
      <c r="C51" s="1" t="s">
        <v>81</v>
      </c>
      <c r="D51" s="1" t="s">
        <v>210</v>
      </c>
      <c r="E51" s="1">
        <v>40456.25</v>
      </c>
      <c r="F51" s="1"/>
      <c r="G51" s="1"/>
      <c r="H51" s="1"/>
      <c r="I51" s="1"/>
      <c r="J51" s="1"/>
      <c r="K51" s="1"/>
      <c r="L51" s="1"/>
      <c r="M51" s="1"/>
      <c r="N51" s="1"/>
      <c r="O51" s="1"/>
      <c r="P51" s="1"/>
      <c r="Q51" s="1"/>
      <c r="R51" s="1"/>
      <c r="S51" s="1"/>
      <c r="T51" s="1"/>
      <c r="U51" s="1"/>
      <c r="V51" s="1"/>
      <c r="W51" s="1"/>
      <c r="X51" s="1"/>
      <c r="Y51" s="1"/>
      <c r="Z51" s="1"/>
      <c r="AA51" s="1"/>
      <c r="AB51" s="1"/>
      <c r="AC51" s="1"/>
      <c r="AD51" s="1"/>
      <c r="AE51" s="1"/>
      <c r="AF51" s="1">
        <v>40508.25</v>
      </c>
      <c r="AG51" s="1"/>
      <c r="AH51" s="1"/>
      <c r="AI51" s="1"/>
      <c r="AJ51" s="1"/>
      <c r="AK51" s="1"/>
      <c r="AL51" s="1"/>
      <c r="AM51" s="1"/>
      <c r="AN51" s="1"/>
      <c r="AO51" s="1"/>
      <c r="AP51" s="1"/>
      <c r="AQ51" s="1"/>
      <c r="AR51" s="1">
        <v>40886.25</v>
      </c>
      <c r="AS51" s="1">
        <v>40704.25</v>
      </c>
      <c r="AT51" s="1"/>
      <c r="AU51" s="1"/>
      <c r="AV51" s="1">
        <v>40886.25</v>
      </c>
      <c r="AW51" s="1"/>
      <c r="AX51" s="1"/>
      <c r="AY51" s="1"/>
      <c r="AZ51" s="1">
        <v>40891.25</v>
      </c>
      <c r="BA51" s="1"/>
      <c r="BB51" s="1"/>
      <c r="BC51" s="1"/>
      <c r="BD51" s="1"/>
      <c r="BE51" s="1"/>
      <c r="BF51" s="1"/>
      <c r="BG51" s="1"/>
      <c r="BH51" s="1"/>
      <c r="BI51" s="1"/>
      <c r="BJ51" s="1"/>
      <c r="BK51" s="1"/>
      <c r="BL51" s="1"/>
      <c r="BM51" s="1">
        <v>40893.25</v>
      </c>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row>
    <row r="52" spans="1:216" x14ac:dyDescent="0.3">
      <c r="A52" s="3" t="str">
        <f>HYPERLINK("https://hpr-rps.hres.ca/reg-content/summary-basis-decision-detailOne.php?lang=en&amp;linkID=SBD00052", "Emend TM")</f>
        <v>Emend TM</v>
      </c>
      <c r="B52" s="1" t="s">
        <v>211</v>
      </c>
      <c r="C52" s="1" t="s">
        <v>212</v>
      </c>
      <c r="D52" s="1" t="s">
        <v>213</v>
      </c>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v>37698.25</v>
      </c>
      <c r="AG52" s="1"/>
      <c r="AH52" s="1"/>
      <c r="AI52" s="1"/>
      <c r="AJ52" s="1"/>
      <c r="AK52" s="1"/>
      <c r="AL52" s="1"/>
      <c r="AM52" s="1"/>
      <c r="AN52" s="1"/>
      <c r="AO52" s="1"/>
      <c r="AP52" s="1"/>
      <c r="AQ52" s="1"/>
      <c r="AR52" s="1"/>
      <c r="AS52" s="1"/>
      <c r="AT52" s="1"/>
      <c r="AU52" s="1"/>
      <c r="AV52" s="1">
        <v>37924.25</v>
      </c>
      <c r="AW52" s="1"/>
      <c r="AX52" s="1"/>
      <c r="AY52" s="1"/>
      <c r="AZ52" s="1">
        <v>38044.25</v>
      </c>
      <c r="BA52" s="1"/>
      <c r="BB52" s="1"/>
      <c r="BC52" s="1"/>
      <c r="BD52" s="1"/>
      <c r="BE52" s="1"/>
      <c r="BF52" s="1"/>
      <c r="BG52" s="1"/>
      <c r="BH52" s="1"/>
      <c r="BI52" s="1"/>
      <c r="BJ52" s="1"/>
      <c r="BK52" s="1"/>
      <c r="BL52" s="1"/>
      <c r="BM52" s="1"/>
      <c r="BN52" s="1"/>
      <c r="BO52" s="1"/>
      <c r="BP52" s="1"/>
      <c r="BQ52" s="1"/>
      <c r="BR52" s="1"/>
      <c r="BS52" s="1"/>
      <c r="BT52" s="1">
        <v>38061.25</v>
      </c>
      <c r="BU52" s="1"/>
      <c r="BV52" s="1"/>
      <c r="BW52" s="1"/>
      <c r="BX52" s="1"/>
      <c r="BY52" s="1">
        <v>38145.25</v>
      </c>
      <c r="BZ52" s="1"/>
      <c r="CA52" s="1"/>
      <c r="CB52" s="1"/>
      <c r="CC52" s="1"/>
      <c r="CD52" s="1"/>
      <c r="CE52" s="1"/>
      <c r="CF52" s="1"/>
      <c r="CG52" s="1"/>
      <c r="CH52" s="1"/>
      <c r="CI52" s="1"/>
      <c r="CJ52" s="1"/>
      <c r="CK52" s="1"/>
      <c r="CL52" s="1"/>
      <c r="CM52" s="1"/>
      <c r="CN52" s="1"/>
      <c r="CO52" s="1"/>
      <c r="CP52" s="1"/>
      <c r="CQ52" s="1"/>
      <c r="CR52" s="1">
        <v>38190.25</v>
      </c>
      <c r="CS52" s="1"/>
      <c r="CT52" s="1"/>
      <c r="CU52" s="1"/>
      <c r="CV52" s="1"/>
      <c r="CW52" s="1"/>
      <c r="CX52" s="1"/>
      <c r="CY52" s="1"/>
      <c r="CZ52" s="1"/>
      <c r="DA52" s="1"/>
      <c r="DB52" s="1"/>
      <c r="DC52" s="1"/>
      <c r="DD52" s="1"/>
      <c r="DE52" s="1"/>
      <c r="DF52" s="1"/>
      <c r="DG52" s="1"/>
      <c r="DH52" s="1"/>
      <c r="DI52" s="1"/>
      <c r="DJ52" s="1"/>
      <c r="DK52" s="1"/>
      <c r="DL52" s="1">
        <v>38363.25</v>
      </c>
      <c r="DM52" s="1"/>
      <c r="DN52" s="1"/>
      <c r="DO52" s="1"/>
      <c r="DP52" s="1"/>
      <c r="DQ52" s="1"/>
      <c r="DR52" s="1"/>
      <c r="DS52" s="1"/>
      <c r="DT52" s="1"/>
      <c r="DU52" s="1"/>
      <c r="DV52" s="1"/>
      <c r="DW52" s="1"/>
      <c r="DX52" s="1"/>
      <c r="DY52" s="1"/>
      <c r="DZ52" s="1"/>
      <c r="EA52" s="1"/>
      <c r="EB52" s="1"/>
      <c r="EC52" s="1"/>
      <c r="ED52" s="1"/>
      <c r="EE52" s="1">
        <v>38365.25</v>
      </c>
      <c r="EF52" s="1"/>
      <c r="EG52" s="1"/>
      <c r="EH52" s="1"/>
      <c r="EI52" s="1"/>
      <c r="EJ52" s="1">
        <v>38737.25</v>
      </c>
      <c r="EK52" s="1"/>
      <c r="EL52" s="1"/>
      <c r="EM52" s="1"/>
      <c r="EN52" s="1"/>
      <c r="EO52" s="1">
        <v>38453.25</v>
      </c>
      <c r="EP52" s="1"/>
      <c r="EQ52" s="1"/>
      <c r="ER52" s="1"/>
      <c r="ES52" s="1"/>
      <c r="ET52" s="1"/>
      <c r="EU52" s="1"/>
      <c r="EV52" s="1"/>
      <c r="EW52" s="1"/>
      <c r="EX52" s="1"/>
      <c r="EY52" s="1"/>
      <c r="EZ52" s="1"/>
      <c r="FA52" s="1"/>
      <c r="FB52" s="1"/>
      <c r="FC52" s="1"/>
      <c r="FD52" s="1">
        <v>39022.25</v>
      </c>
      <c r="FE52" s="1"/>
      <c r="FF52" s="1"/>
      <c r="FG52" s="1"/>
      <c r="FH52" s="1"/>
      <c r="FI52" s="1"/>
      <c r="FJ52" s="1"/>
      <c r="FK52" s="1"/>
      <c r="FL52" s="1"/>
      <c r="FM52" s="1"/>
      <c r="FN52" s="1"/>
      <c r="FO52" s="1"/>
      <c r="FP52" s="1">
        <v>39310.25</v>
      </c>
      <c r="FQ52" s="1"/>
      <c r="FR52" s="1"/>
      <c r="FS52" s="1"/>
      <c r="FT52" s="1">
        <v>39309.25</v>
      </c>
      <c r="FU52" s="1"/>
      <c r="FV52" s="1">
        <v>39129.25</v>
      </c>
      <c r="FW52" s="1"/>
      <c r="FX52" s="1">
        <v>39259.25</v>
      </c>
      <c r="FY52" s="1"/>
      <c r="FZ52" s="1"/>
      <c r="GA52" s="1"/>
      <c r="GB52" s="1"/>
      <c r="GC52" s="1"/>
      <c r="GD52" s="1"/>
      <c r="GE52" s="1"/>
      <c r="GF52" s="1"/>
      <c r="GG52" s="1"/>
      <c r="GH52" s="1"/>
      <c r="GI52" s="1"/>
      <c r="GJ52" s="1"/>
      <c r="GK52" s="1">
        <v>39318.25</v>
      </c>
      <c r="GL52" s="1"/>
      <c r="GM52" s="1"/>
      <c r="GN52" s="1"/>
      <c r="GO52" s="1"/>
      <c r="GP52" s="1"/>
      <c r="GQ52" s="1"/>
      <c r="GR52" s="1"/>
      <c r="GS52" s="1"/>
      <c r="GT52" s="1"/>
      <c r="GU52" s="1"/>
      <c r="GV52" s="1"/>
      <c r="GW52" s="1"/>
      <c r="GX52" s="1"/>
      <c r="GY52" s="1"/>
      <c r="GZ52" s="1"/>
      <c r="HA52" s="1"/>
      <c r="HB52" s="1"/>
      <c r="HC52" s="1"/>
      <c r="HD52" s="1"/>
      <c r="HE52" s="1"/>
      <c r="HF52" s="1"/>
      <c r="HG52" s="1"/>
      <c r="HH52" s="1"/>
    </row>
    <row r="53" spans="1:216" x14ac:dyDescent="0.3">
      <c r="A53" s="3" t="str">
        <f>HYPERLINK("https://hpr-rps.hres.ca/reg-content/summary-basis-decision-detailOne.php?lang=en&amp;linkID=SBD00053", "Emend ®")</f>
        <v>Emend ®</v>
      </c>
      <c r="B53" s="1" t="s">
        <v>214</v>
      </c>
      <c r="C53" s="1" t="s">
        <v>212</v>
      </c>
      <c r="D53" s="1" t="s">
        <v>215</v>
      </c>
      <c r="E53" s="1"/>
      <c r="F53" s="1"/>
      <c r="G53" s="1"/>
      <c r="H53" s="1">
        <v>39556.25</v>
      </c>
      <c r="I53" s="1"/>
      <c r="J53" s="1"/>
      <c r="K53" s="1"/>
      <c r="L53" s="1"/>
      <c r="M53" s="1"/>
      <c r="N53" s="1"/>
      <c r="O53" s="1"/>
      <c r="P53" s="1"/>
      <c r="Q53" s="1"/>
      <c r="R53" s="1"/>
      <c r="S53" s="1"/>
      <c r="T53" s="1"/>
      <c r="U53" s="1"/>
      <c r="V53" s="1"/>
      <c r="W53" s="1"/>
      <c r="X53" s="1"/>
      <c r="Y53" s="1"/>
      <c r="Z53" s="1"/>
      <c r="AA53" s="1"/>
      <c r="AB53" s="1"/>
      <c r="AC53" s="1"/>
      <c r="AD53" s="1"/>
      <c r="AE53" s="1"/>
      <c r="AF53" s="1">
        <v>39604.25</v>
      </c>
      <c r="AG53" s="1"/>
      <c r="AH53" s="1"/>
      <c r="AI53" s="1"/>
      <c r="AJ53" s="1"/>
      <c r="AK53" s="1"/>
      <c r="AL53" s="1"/>
      <c r="AM53" s="1"/>
      <c r="AN53" s="1"/>
      <c r="AO53" s="1"/>
      <c r="AP53" s="1"/>
      <c r="AQ53" s="1"/>
      <c r="AR53" s="1">
        <v>39904.25</v>
      </c>
      <c r="AS53" s="1"/>
      <c r="AT53" s="1"/>
      <c r="AU53" s="1"/>
      <c r="AV53" s="1">
        <v>39904.25</v>
      </c>
      <c r="AW53" s="1"/>
      <c r="AX53" s="1">
        <v>39129.25</v>
      </c>
      <c r="AY53" s="1"/>
      <c r="AZ53" s="1">
        <v>39903.25</v>
      </c>
      <c r="BA53" s="1"/>
      <c r="BB53" s="1"/>
      <c r="BC53" s="1"/>
      <c r="BD53" s="1"/>
      <c r="BE53" s="1"/>
      <c r="BF53" s="1"/>
      <c r="BG53" s="1"/>
      <c r="BH53" s="1"/>
      <c r="BI53" s="1"/>
      <c r="BJ53" s="1"/>
      <c r="BK53" s="1"/>
      <c r="BL53" s="1"/>
      <c r="BM53" s="1"/>
      <c r="BN53" s="1"/>
      <c r="BO53" s="1"/>
      <c r="BP53" s="1"/>
      <c r="BQ53" s="1"/>
      <c r="BR53" s="1"/>
      <c r="BS53" s="1"/>
      <c r="BT53" s="1"/>
      <c r="BU53" s="1">
        <v>39904.25</v>
      </c>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row>
    <row r="54" spans="1:216" x14ac:dyDescent="0.3">
      <c r="A54" s="3" t="str">
        <f>HYPERLINK("https://hpr-rps.hres.ca/reg-content/summary-basis-decision-detailOne.php?lang=en&amp;linkID=SBD00054", "Emtriva TM")</f>
        <v>Emtriva TM</v>
      </c>
      <c r="B54" s="1" t="s">
        <v>216</v>
      </c>
      <c r="C54" s="1" t="s">
        <v>217</v>
      </c>
      <c r="D54" s="1" t="s">
        <v>218</v>
      </c>
      <c r="E54" s="1">
        <v>38217.25</v>
      </c>
      <c r="F54" s="1"/>
      <c r="G54" s="1"/>
      <c r="H54" s="1">
        <v>38251.25</v>
      </c>
      <c r="I54" s="1"/>
      <c r="J54" s="1"/>
      <c r="K54" s="1"/>
      <c r="L54" s="1"/>
      <c r="M54" s="1"/>
      <c r="N54" s="1"/>
      <c r="O54" s="1"/>
      <c r="P54" s="1"/>
      <c r="Q54" s="1"/>
      <c r="R54" s="1"/>
      <c r="S54" s="1"/>
      <c r="T54" s="1"/>
      <c r="U54" s="1"/>
      <c r="V54" s="1"/>
      <c r="W54" s="1"/>
      <c r="X54" s="1"/>
      <c r="Y54" s="1"/>
      <c r="Z54" s="1">
        <v>38303.25</v>
      </c>
      <c r="AA54" s="1"/>
      <c r="AB54" s="1"/>
      <c r="AC54" s="1">
        <v>38343.25</v>
      </c>
      <c r="AD54" s="1"/>
      <c r="AE54" s="1"/>
      <c r="AF54" s="1">
        <v>38385.25</v>
      </c>
      <c r="AG54" s="1"/>
      <c r="AH54" s="1"/>
      <c r="AI54" s="1"/>
      <c r="AJ54" s="1"/>
      <c r="AK54" s="1"/>
      <c r="AL54" s="1"/>
      <c r="AM54" s="1"/>
      <c r="AN54" s="1"/>
      <c r="AO54" s="1"/>
      <c r="AP54" s="1"/>
      <c r="AQ54" s="1"/>
      <c r="AR54" s="1">
        <v>38653.25</v>
      </c>
      <c r="AS54" s="1">
        <v>38638.25</v>
      </c>
      <c r="AT54" s="1"/>
      <c r="AU54" s="1"/>
      <c r="AV54" s="1">
        <v>38586.25</v>
      </c>
      <c r="AW54" s="1"/>
      <c r="AX54" s="1"/>
      <c r="AY54" s="1"/>
      <c r="AZ54" s="1">
        <v>38629.25</v>
      </c>
      <c r="BA54" s="1"/>
      <c r="BB54" s="1"/>
      <c r="BC54" s="1"/>
      <c r="BD54" s="1"/>
      <c r="BE54" s="1"/>
      <c r="BF54" s="1"/>
      <c r="BG54" s="1"/>
      <c r="BH54" s="1"/>
      <c r="BI54" s="1"/>
      <c r="BJ54" s="1"/>
      <c r="BK54" s="1"/>
      <c r="BL54" s="1"/>
      <c r="BM54" s="1">
        <v>38677.25</v>
      </c>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row>
    <row r="55" spans="1:216" x14ac:dyDescent="0.3">
      <c r="A55" s="3" t="str">
        <f>HYPERLINK("https://hpr-rps.hres.ca/reg-content/summary-basis-decision-detailOne.php?lang=en&amp;linkID=SBD00055", "Enablex ®")</f>
        <v>Enablex ®</v>
      </c>
      <c r="B55" s="1" t="s">
        <v>219</v>
      </c>
      <c r="C55" s="1" t="s">
        <v>220</v>
      </c>
      <c r="D55" s="1" t="s">
        <v>221</v>
      </c>
      <c r="E55" s="1"/>
      <c r="F55" s="1"/>
      <c r="G55" s="1"/>
      <c r="H55" s="1">
        <v>37883.25</v>
      </c>
      <c r="I55" s="1"/>
      <c r="J55" s="1"/>
      <c r="K55" s="1"/>
      <c r="L55" s="1"/>
      <c r="M55" s="1"/>
      <c r="N55" s="1"/>
      <c r="O55" s="1"/>
      <c r="P55" s="1"/>
      <c r="Q55" s="1"/>
      <c r="R55" s="1"/>
      <c r="S55" s="1"/>
      <c r="T55" s="1"/>
      <c r="U55" s="1"/>
      <c r="V55" s="1"/>
      <c r="W55" s="1"/>
      <c r="X55" s="1"/>
      <c r="Y55" s="1"/>
      <c r="Z55" s="1"/>
      <c r="AA55" s="1"/>
      <c r="AB55" s="1"/>
      <c r="AC55" s="1"/>
      <c r="AD55" s="1"/>
      <c r="AE55" s="1"/>
      <c r="AF55" s="1">
        <v>37917.25</v>
      </c>
      <c r="AG55" s="1"/>
      <c r="AH55" s="1"/>
      <c r="AI55" s="1"/>
      <c r="AJ55" s="1"/>
      <c r="AK55" s="1"/>
      <c r="AL55" s="1"/>
      <c r="AM55" s="1"/>
      <c r="AN55" s="1"/>
      <c r="AO55" s="1"/>
      <c r="AP55" s="1"/>
      <c r="AQ55" s="1"/>
      <c r="AR55" s="1"/>
      <c r="AS55" s="1">
        <v>38176.25</v>
      </c>
      <c r="AT55" s="1"/>
      <c r="AU55" s="1"/>
      <c r="AV55" s="1">
        <v>38203.25</v>
      </c>
      <c r="AW55" s="1"/>
      <c r="AX55" s="1"/>
      <c r="AY55" s="1"/>
      <c r="AZ55" s="1">
        <v>38301.25</v>
      </c>
      <c r="BA55" s="1"/>
      <c r="BB55" s="1"/>
      <c r="BC55" s="1"/>
      <c r="BD55" s="1"/>
      <c r="BE55" s="1"/>
      <c r="BF55" s="1"/>
      <c r="BG55" s="1"/>
      <c r="BH55" s="1"/>
      <c r="BI55" s="1"/>
      <c r="BJ55" s="1"/>
      <c r="BK55" s="1"/>
      <c r="BL55" s="1"/>
      <c r="BM55" s="1"/>
      <c r="BN55" s="1"/>
      <c r="BO55" s="1"/>
      <c r="BP55" s="1">
        <v>38261.25</v>
      </c>
      <c r="BQ55" s="1"/>
      <c r="BR55" s="1"/>
      <c r="BS55" s="1"/>
      <c r="BT55" s="1"/>
      <c r="BU55" s="1"/>
      <c r="BV55" s="1"/>
      <c r="BW55" s="1"/>
      <c r="BX55" s="1"/>
      <c r="BY55" s="1">
        <v>38345.25</v>
      </c>
      <c r="BZ55" s="1"/>
      <c r="CA55" s="1"/>
      <c r="CB55" s="1"/>
      <c r="CC55" s="1"/>
      <c r="CD55" s="1"/>
      <c r="CE55" s="1"/>
      <c r="CF55" s="1"/>
      <c r="CG55" s="1"/>
      <c r="CH55" s="1"/>
      <c r="CI55" s="1"/>
      <c r="CJ55" s="1"/>
      <c r="CK55" s="1"/>
      <c r="CL55" s="1"/>
      <c r="CM55" s="1"/>
      <c r="CN55" s="1"/>
      <c r="CO55" s="1"/>
      <c r="CP55" s="1"/>
      <c r="CQ55" s="1"/>
      <c r="CR55" s="1">
        <v>38366.25</v>
      </c>
      <c r="CS55" s="1"/>
      <c r="CT55" s="1"/>
      <c r="CU55" s="1"/>
      <c r="CV55" s="1"/>
      <c r="CW55" s="1"/>
      <c r="CX55" s="1"/>
      <c r="CY55" s="1"/>
      <c r="CZ55" s="1"/>
      <c r="DA55" s="1"/>
      <c r="DB55" s="1"/>
      <c r="DC55" s="1"/>
      <c r="DD55" s="1">
        <v>38664.25</v>
      </c>
      <c r="DE55" s="1">
        <v>38658.25</v>
      </c>
      <c r="DF55" s="1"/>
      <c r="DG55" s="1"/>
      <c r="DH55" s="1">
        <v>38545.25</v>
      </c>
      <c r="DI55" s="1"/>
      <c r="DJ55" s="1"/>
      <c r="DK55" s="1"/>
      <c r="DL55" s="1">
        <v>38666.25</v>
      </c>
      <c r="DM55" s="1"/>
      <c r="DN55" s="1"/>
      <c r="DO55" s="1"/>
      <c r="DP55" s="1"/>
      <c r="DQ55" s="1"/>
      <c r="DR55" s="1"/>
      <c r="DS55" s="1"/>
      <c r="DT55" s="1"/>
      <c r="DU55" s="1"/>
      <c r="DV55" s="1"/>
      <c r="DW55" s="1"/>
      <c r="DX55" s="1"/>
      <c r="DY55" s="1">
        <v>38670.25</v>
      </c>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row>
    <row r="56" spans="1:216" x14ac:dyDescent="0.3">
      <c r="A56" s="3" t="str">
        <f>HYPERLINK("https://hpr-rps.hres.ca/reg-content/summary-basis-decision-detailOne.php?lang=en&amp;linkID=SBD00056", "Eraxis")</f>
        <v>Eraxis</v>
      </c>
      <c r="B56" s="1" t="s">
        <v>222</v>
      </c>
      <c r="C56" s="1" t="s">
        <v>143</v>
      </c>
      <c r="D56" s="1" t="s">
        <v>223</v>
      </c>
      <c r="E56" s="1"/>
      <c r="F56" s="1"/>
      <c r="G56" s="1"/>
      <c r="H56" s="1">
        <v>39051.25</v>
      </c>
      <c r="I56" s="1"/>
      <c r="J56" s="1"/>
      <c r="K56" s="1"/>
      <c r="L56" s="1"/>
      <c r="M56" s="1"/>
      <c r="N56" s="1"/>
      <c r="O56" s="1"/>
      <c r="P56" s="1"/>
      <c r="Q56" s="1"/>
      <c r="R56" s="1"/>
      <c r="S56" s="1"/>
      <c r="T56" s="1"/>
      <c r="U56" s="1"/>
      <c r="V56" s="1"/>
      <c r="W56" s="1"/>
      <c r="X56" s="1"/>
      <c r="Y56" s="1"/>
      <c r="Z56" s="1"/>
      <c r="AA56" s="1"/>
      <c r="AB56" s="1"/>
      <c r="AC56" s="1"/>
      <c r="AD56" s="1"/>
      <c r="AE56" s="1"/>
      <c r="AF56" s="1">
        <v>39100.25</v>
      </c>
      <c r="AG56" s="1"/>
      <c r="AH56" s="1"/>
      <c r="AI56" s="1"/>
      <c r="AJ56" s="1"/>
      <c r="AK56" s="1"/>
      <c r="AL56" s="1"/>
      <c r="AM56" s="1"/>
      <c r="AN56" s="1"/>
      <c r="AO56" s="1"/>
      <c r="AP56" s="1"/>
      <c r="AQ56" s="1"/>
      <c r="AR56" s="1">
        <v>39400.25</v>
      </c>
      <c r="AS56" s="1"/>
      <c r="AT56" s="1"/>
      <c r="AU56" s="1"/>
      <c r="AV56" s="1">
        <v>39399.25</v>
      </c>
      <c r="AW56" s="1"/>
      <c r="AX56" s="1"/>
      <c r="AY56" s="1"/>
      <c r="AZ56" s="1">
        <v>39378.25</v>
      </c>
      <c r="BA56" s="1"/>
      <c r="BB56" s="1"/>
      <c r="BC56" s="1"/>
      <c r="BD56" s="1"/>
      <c r="BE56" s="1"/>
      <c r="BF56" s="1"/>
      <c r="BG56" s="1"/>
      <c r="BH56" s="1"/>
      <c r="BI56" s="1"/>
      <c r="BJ56" s="1"/>
      <c r="BK56" s="1"/>
      <c r="BL56" s="1"/>
      <c r="BM56" s="1">
        <v>39400.25</v>
      </c>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row>
    <row r="57" spans="1:216" x14ac:dyDescent="0.3">
      <c r="A57" s="3" t="str">
        <f>HYPERLINK("https://hpr-rps.hres.ca/reg-content/summary-basis-decision-detailOne.php?lang=en&amp;linkID=SBD00069", "Ilaris")</f>
        <v>Ilaris</v>
      </c>
      <c r="B57" s="1" t="s">
        <v>224</v>
      </c>
      <c r="C57" s="1" t="s">
        <v>87</v>
      </c>
      <c r="D57" s="1" t="s">
        <v>225</v>
      </c>
      <c r="E57" s="1">
        <v>39857.25</v>
      </c>
      <c r="F57" s="1"/>
      <c r="G57" s="1"/>
      <c r="H57" s="1"/>
      <c r="I57" s="1"/>
      <c r="J57" s="1"/>
      <c r="K57" s="1"/>
      <c r="L57" s="1"/>
      <c r="M57" s="1"/>
      <c r="N57" s="1">
        <v>39946.25</v>
      </c>
      <c r="O57" s="1"/>
      <c r="P57" s="1"/>
      <c r="Q57" s="1"/>
      <c r="R57" s="1"/>
      <c r="S57" s="1">
        <v>39966.25</v>
      </c>
      <c r="T57" s="1"/>
      <c r="U57" s="1"/>
      <c r="V57" s="1">
        <v>39994.25</v>
      </c>
      <c r="W57" s="1"/>
      <c r="X57" s="1"/>
      <c r="Y57" s="1"/>
      <c r="Z57" s="1"/>
      <c r="AA57" s="1"/>
      <c r="AB57" s="1"/>
      <c r="AC57" s="1"/>
      <c r="AD57" s="1"/>
      <c r="AE57" s="1"/>
      <c r="AF57" s="1">
        <v>40025.25</v>
      </c>
      <c r="AG57" s="1"/>
      <c r="AH57" s="1"/>
      <c r="AI57" s="1"/>
      <c r="AJ57" s="1"/>
      <c r="AK57" s="1"/>
      <c r="AL57" s="1"/>
      <c r="AM57" s="1"/>
      <c r="AN57" s="1"/>
      <c r="AO57" s="1"/>
      <c r="AP57" s="1"/>
      <c r="AQ57" s="1"/>
      <c r="AR57" s="1">
        <v>40235.25</v>
      </c>
      <c r="AS57" s="1"/>
      <c r="AT57" s="1"/>
      <c r="AU57" s="1"/>
      <c r="AV57" s="1">
        <v>40226.25</v>
      </c>
      <c r="AW57" s="1"/>
      <c r="AX57" s="1">
        <v>40235.25</v>
      </c>
      <c r="AY57" s="1"/>
      <c r="AZ57" s="1">
        <v>40235.25</v>
      </c>
      <c r="BA57" s="1"/>
      <c r="BB57" s="1"/>
      <c r="BC57" s="1"/>
      <c r="BD57" s="1"/>
      <c r="BE57" s="1"/>
      <c r="BF57" s="1"/>
      <c r="BG57" s="1"/>
      <c r="BH57" s="1"/>
      <c r="BI57" s="1"/>
      <c r="BJ57" s="1"/>
      <c r="BK57" s="1"/>
      <c r="BL57" s="1"/>
      <c r="BM57" s="1">
        <v>40235.25</v>
      </c>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row>
    <row r="58" spans="1:216" x14ac:dyDescent="0.3">
      <c r="A58" s="3" t="str">
        <f>HYPERLINK("https://hpr-rps.hres.ca/reg-content/summary-basis-decision-detailOne.php?lang=en&amp;linkID=SBD00057", "Erbitux")</f>
        <v>Erbitux</v>
      </c>
      <c r="B58" s="1" t="s">
        <v>226</v>
      </c>
      <c r="C58" s="1" t="s">
        <v>227</v>
      </c>
      <c r="D58" s="1" t="s">
        <v>228</v>
      </c>
      <c r="E58" s="1">
        <v>37893.25</v>
      </c>
      <c r="F58" s="1"/>
      <c r="G58" s="1"/>
      <c r="H58" s="1"/>
      <c r="I58" s="1"/>
      <c r="J58" s="1"/>
      <c r="K58" s="1"/>
      <c r="L58" s="1"/>
      <c r="M58" s="1"/>
      <c r="N58" s="1">
        <v>37895.25</v>
      </c>
      <c r="O58" s="1"/>
      <c r="P58" s="1"/>
      <c r="Q58" s="1"/>
      <c r="R58" s="1"/>
      <c r="S58" s="1">
        <v>37909.25</v>
      </c>
      <c r="T58" s="1"/>
      <c r="U58" s="1"/>
      <c r="V58" s="1">
        <v>37949.25</v>
      </c>
      <c r="W58" s="1"/>
      <c r="X58" s="1"/>
      <c r="Y58" s="1"/>
      <c r="Z58" s="1"/>
      <c r="AA58" s="1"/>
      <c r="AB58" s="1"/>
      <c r="AC58" s="1"/>
      <c r="AD58" s="1"/>
      <c r="AE58" s="1"/>
      <c r="AF58" s="1">
        <v>37979.25</v>
      </c>
      <c r="AG58" s="1"/>
      <c r="AH58" s="1"/>
      <c r="AI58" s="1"/>
      <c r="AJ58" s="1"/>
      <c r="AK58" s="1"/>
      <c r="AL58" s="1"/>
      <c r="AM58" s="1"/>
      <c r="AN58" s="1"/>
      <c r="AO58" s="1">
        <v>38377.25</v>
      </c>
      <c r="AP58" s="1"/>
      <c r="AQ58" s="1"/>
      <c r="AR58" s="1">
        <v>38594.25</v>
      </c>
      <c r="AS58" s="1"/>
      <c r="AT58" s="1"/>
      <c r="AU58" s="1"/>
      <c r="AV58" s="1">
        <v>38601.25</v>
      </c>
      <c r="AW58" s="1"/>
      <c r="AX58" s="1"/>
      <c r="AY58" s="1"/>
      <c r="AZ58" s="1">
        <v>38602.25</v>
      </c>
      <c r="BA58" s="1"/>
      <c r="BB58" s="1"/>
      <c r="BC58" s="1"/>
      <c r="BD58" s="1"/>
      <c r="BE58" s="1"/>
      <c r="BF58" s="1"/>
      <c r="BG58" s="1"/>
      <c r="BH58" s="1"/>
      <c r="BI58" s="1"/>
      <c r="BJ58" s="1"/>
      <c r="BK58" s="1"/>
      <c r="BL58" s="1"/>
      <c r="BM58" s="1">
        <v>38604.25</v>
      </c>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row>
    <row r="59" spans="1:216" x14ac:dyDescent="0.3">
      <c r="A59" s="3" t="str">
        <f>HYPERLINK("https://hpr-rps.hres.ca/reg-content/summary-basis-decision-detailOne.php?lang=en&amp;linkID=SBD00058", "Exelon Patch")</f>
        <v>Exelon Patch</v>
      </c>
      <c r="B59" s="1" t="s">
        <v>229</v>
      </c>
      <c r="C59" s="1" t="s">
        <v>87</v>
      </c>
      <c r="D59" s="1" t="s">
        <v>230</v>
      </c>
      <c r="E59" s="1"/>
      <c r="F59" s="1"/>
      <c r="G59" s="1"/>
      <c r="H59" s="1">
        <v>39022.25</v>
      </c>
      <c r="I59" s="1"/>
      <c r="J59" s="1"/>
      <c r="K59" s="1"/>
      <c r="L59" s="1"/>
      <c r="M59" s="1"/>
      <c r="N59" s="1"/>
      <c r="O59" s="1"/>
      <c r="P59" s="1"/>
      <c r="Q59" s="1"/>
      <c r="R59" s="1"/>
      <c r="S59" s="1"/>
      <c r="T59" s="1"/>
      <c r="U59" s="1"/>
      <c r="V59" s="1"/>
      <c r="W59" s="1"/>
      <c r="X59" s="1"/>
      <c r="Y59" s="1"/>
      <c r="Z59" s="1">
        <v>39066.25</v>
      </c>
      <c r="AA59" s="1"/>
      <c r="AB59" s="1"/>
      <c r="AC59" s="1">
        <v>39078.25</v>
      </c>
      <c r="AD59" s="1"/>
      <c r="AE59" s="1"/>
      <c r="AF59" s="1">
        <v>39115.25</v>
      </c>
      <c r="AG59" s="1"/>
      <c r="AH59" s="1"/>
      <c r="AI59" s="1"/>
      <c r="AJ59" s="1"/>
      <c r="AK59" s="1"/>
      <c r="AL59" s="1"/>
      <c r="AM59" s="1"/>
      <c r="AN59" s="1"/>
      <c r="AO59" s="1"/>
      <c r="AP59" s="1"/>
      <c r="AQ59" s="1"/>
      <c r="AR59" s="1">
        <v>39413.25</v>
      </c>
      <c r="AS59" s="1">
        <v>39394.25</v>
      </c>
      <c r="AT59" s="1"/>
      <c r="AU59" s="1"/>
      <c r="AV59" s="1">
        <v>39414.25</v>
      </c>
      <c r="AW59" s="1"/>
      <c r="AX59" s="1"/>
      <c r="AY59" s="1"/>
      <c r="AZ59" s="1">
        <v>39413.25</v>
      </c>
      <c r="BA59" s="1"/>
      <c r="BB59" s="1"/>
      <c r="BC59" s="1"/>
      <c r="BD59" s="1"/>
      <c r="BE59" s="1"/>
      <c r="BF59" s="1"/>
      <c r="BG59" s="1"/>
      <c r="BH59" s="1"/>
      <c r="BI59" s="1"/>
      <c r="BJ59" s="1"/>
      <c r="BK59" s="1"/>
      <c r="BL59" s="1"/>
      <c r="BM59" s="1">
        <v>39415.25</v>
      </c>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row>
    <row r="60" spans="1:216" x14ac:dyDescent="0.3">
      <c r="A60" s="3" t="str">
        <f>HYPERLINK("https://hpr-rps.hres.ca/reg-content/summary-basis-decision-detailOne.php?lang=en&amp;linkID=SBD00070", "Incivek TM")</f>
        <v>Incivek TM</v>
      </c>
      <c r="B60" s="1" t="s">
        <v>231</v>
      </c>
      <c r="C60" s="1" t="s">
        <v>232</v>
      </c>
      <c r="D60" s="1" t="s">
        <v>233</v>
      </c>
      <c r="E60" s="1">
        <v>40464.25</v>
      </c>
      <c r="F60" s="1"/>
      <c r="G60" s="1"/>
      <c r="H60" s="1"/>
      <c r="I60" s="1"/>
      <c r="J60" s="1"/>
      <c r="K60" s="1"/>
      <c r="L60" s="1"/>
      <c r="M60" s="1"/>
      <c r="N60" s="1">
        <v>40521.25</v>
      </c>
      <c r="O60" s="1">
        <v>40557.25</v>
      </c>
      <c r="P60" s="1"/>
      <c r="Q60" s="1"/>
      <c r="R60" s="1"/>
      <c r="S60" s="1">
        <v>40191.25</v>
      </c>
      <c r="T60" s="1"/>
      <c r="U60" s="1"/>
      <c r="V60" s="1"/>
      <c r="W60" s="1"/>
      <c r="X60" s="1"/>
      <c r="Y60" s="1"/>
      <c r="Z60" s="1"/>
      <c r="AA60" s="1"/>
      <c r="AB60" s="1"/>
      <c r="AC60" s="1"/>
      <c r="AD60" s="1"/>
      <c r="AE60" s="1"/>
      <c r="AF60" s="1">
        <v>40592.25</v>
      </c>
      <c r="AG60" s="1"/>
      <c r="AH60" s="1"/>
      <c r="AI60" s="1"/>
      <c r="AJ60" s="1"/>
      <c r="AK60" s="1"/>
      <c r="AL60" s="1"/>
      <c r="AM60" s="1"/>
      <c r="AN60" s="1"/>
      <c r="AO60" s="1"/>
      <c r="AP60" s="1"/>
      <c r="AQ60" s="1"/>
      <c r="AR60" s="1">
        <v>40765.25</v>
      </c>
      <c r="AS60" s="1">
        <v>40728.25</v>
      </c>
      <c r="AT60" s="1"/>
      <c r="AU60" s="1"/>
      <c r="AV60" s="1">
        <v>40757.25</v>
      </c>
      <c r="AW60" s="1"/>
      <c r="AX60" s="1"/>
      <c r="AY60" s="1"/>
      <c r="AZ60" s="1">
        <v>40765.25</v>
      </c>
      <c r="BA60" s="1"/>
      <c r="BB60" s="1"/>
      <c r="BC60" s="1"/>
      <c r="BD60" s="1"/>
      <c r="BE60" s="1"/>
      <c r="BF60" s="1"/>
      <c r="BG60" s="1"/>
      <c r="BH60" s="1"/>
      <c r="BI60" s="1"/>
      <c r="BJ60" s="1"/>
      <c r="BK60" s="1"/>
      <c r="BL60" s="1"/>
      <c r="BM60" s="1">
        <v>40771.25</v>
      </c>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row>
    <row r="61" spans="1:216" x14ac:dyDescent="0.3">
      <c r="A61" s="3" t="str">
        <f>HYPERLINK("https://hpr-rps.hres.ca/reg-content/summary-basis-decision-detailOne.php?lang=en&amp;linkID=SBD00059", "Exjade")</f>
        <v>Exjade</v>
      </c>
      <c r="B61" s="1" t="s">
        <v>234</v>
      </c>
      <c r="C61" s="1" t="s">
        <v>235</v>
      </c>
      <c r="D61" s="1" t="s">
        <v>236</v>
      </c>
      <c r="E61" s="1">
        <v>38448.25</v>
      </c>
      <c r="F61" s="1"/>
      <c r="G61" s="1"/>
      <c r="H61" s="1"/>
      <c r="I61" s="1"/>
      <c r="J61" s="1"/>
      <c r="K61" s="1"/>
      <c r="L61" s="1"/>
      <c r="M61" s="1"/>
      <c r="N61" s="1">
        <v>39219.25</v>
      </c>
      <c r="O61" s="1"/>
      <c r="P61" s="1"/>
      <c r="Q61" s="1"/>
      <c r="R61" s="1"/>
      <c r="S61" s="1">
        <v>38518.25</v>
      </c>
      <c r="T61" s="1"/>
      <c r="U61" s="1"/>
      <c r="V61" s="1">
        <v>38527.25</v>
      </c>
      <c r="W61" s="1"/>
      <c r="X61" s="1"/>
      <c r="Y61" s="1"/>
      <c r="Z61" s="1"/>
      <c r="AA61" s="1"/>
      <c r="AB61" s="1"/>
      <c r="AC61" s="1"/>
      <c r="AD61" s="1"/>
      <c r="AE61" s="1"/>
      <c r="AF61" s="1">
        <v>38561.25</v>
      </c>
      <c r="AG61" s="1"/>
      <c r="AH61" s="1"/>
      <c r="AI61" s="1"/>
      <c r="AJ61" s="1"/>
      <c r="AK61" s="1"/>
      <c r="AL61" s="1"/>
      <c r="AM61" s="1"/>
      <c r="AN61" s="1"/>
      <c r="AO61" s="1"/>
      <c r="AP61" s="1"/>
      <c r="AQ61" s="1"/>
      <c r="AR61" s="1"/>
      <c r="AS61" s="1"/>
      <c r="AT61" s="1"/>
      <c r="AU61" s="1"/>
      <c r="AV61" s="1">
        <v>38651.25</v>
      </c>
      <c r="AW61" s="1"/>
      <c r="AX61" s="1"/>
      <c r="AY61" s="1"/>
      <c r="AZ61" s="1">
        <v>38737.25</v>
      </c>
      <c r="BA61" s="1"/>
      <c r="BB61" s="1"/>
      <c r="BC61" s="1"/>
      <c r="BD61" s="1"/>
      <c r="BE61" s="1"/>
      <c r="BF61" s="1"/>
      <c r="BG61" s="1"/>
      <c r="BH61" s="1"/>
      <c r="BI61" s="1"/>
      <c r="BJ61" s="1"/>
      <c r="BK61" s="1"/>
      <c r="BL61" s="1"/>
      <c r="BM61" s="1"/>
      <c r="BN61" s="1"/>
      <c r="BO61" s="1"/>
      <c r="BP61" s="1"/>
      <c r="BQ61" s="1"/>
      <c r="BR61" s="1"/>
      <c r="BS61" s="1"/>
      <c r="BT61" s="1">
        <v>38740.25</v>
      </c>
      <c r="BU61" s="1"/>
      <c r="BV61" s="1"/>
      <c r="BW61" s="1"/>
      <c r="BX61" s="1"/>
      <c r="BY61" s="1">
        <v>38828.25</v>
      </c>
      <c r="BZ61" s="1"/>
      <c r="CA61" s="1"/>
      <c r="CB61" s="1"/>
      <c r="CC61" s="1"/>
      <c r="CD61" s="1"/>
      <c r="CE61" s="1"/>
      <c r="CF61" s="1"/>
      <c r="CG61" s="1"/>
      <c r="CH61" s="1"/>
      <c r="CI61" s="1"/>
      <c r="CJ61" s="1"/>
      <c r="CK61" s="1"/>
      <c r="CL61" s="1"/>
      <c r="CM61" s="1"/>
      <c r="CN61" s="1"/>
      <c r="CO61" s="1"/>
      <c r="CP61" s="1"/>
      <c r="CQ61" s="1"/>
      <c r="CR61" s="1">
        <v>38856.25</v>
      </c>
      <c r="CS61" s="1"/>
      <c r="CT61" s="1"/>
      <c r="CU61" s="1"/>
      <c r="CV61" s="1"/>
      <c r="CW61" s="1"/>
      <c r="CX61" s="1"/>
      <c r="CY61" s="1"/>
      <c r="CZ61" s="1"/>
      <c r="DA61" s="1"/>
      <c r="DB61" s="1"/>
      <c r="DC61" s="1"/>
      <c r="DD61" s="1">
        <v>39006.25</v>
      </c>
      <c r="DE61" s="1"/>
      <c r="DF61" s="1"/>
      <c r="DG61" s="1"/>
      <c r="DH61" s="1"/>
      <c r="DI61" s="1"/>
      <c r="DJ61" s="1"/>
      <c r="DK61" s="1"/>
      <c r="DL61" s="1"/>
      <c r="DM61" s="1"/>
      <c r="DN61" s="1"/>
      <c r="DO61" s="1"/>
      <c r="DP61" s="1"/>
      <c r="DQ61" s="1"/>
      <c r="DR61" s="1"/>
      <c r="DS61" s="1"/>
      <c r="DT61" s="1"/>
      <c r="DU61" s="1"/>
      <c r="DV61" s="1"/>
      <c r="DW61" s="1">
        <v>38946.25</v>
      </c>
      <c r="DX61" s="1">
        <v>39008.25</v>
      </c>
      <c r="DY61" s="1"/>
      <c r="DZ61" s="1"/>
      <c r="EA61" s="1"/>
      <c r="EB61" s="1"/>
      <c r="EC61" s="1"/>
      <c r="ED61" s="1"/>
      <c r="EE61" s="1"/>
      <c r="EF61" s="1"/>
      <c r="EG61" s="1"/>
      <c r="EH61" s="1"/>
      <c r="EI61" s="1"/>
      <c r="EJ61" s="1"/>
      <c r="EK61" s="1">
        <v>38976.25</v>
      </c>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row>
    <row r="62" spans="1:216" x14ac:dyDescent="0.3">
      <c r="A62" s="3" t="str">
        <f>HYPERLINK("https://hpr-rps.hres.ca/reg-content/summary-basis-decision-detailOne.php?lang=en&amp;linkID=SBD00060", "Fampyra TM")</f>
        <v>Fampyra TM</v>
      </c>
      <c r="B62" s="1" t="s">
        <v>237</v>
      </c>
      <c r="C62" s="1" t="s">
        <v>238</v>
      </c>
      <c r="D62" s="1" t="s">
        <v>239</v>
      </c>
      <c r="E62" s="1">
        <v>39893.208333333343</v>
      </c>
      <c r="F62" s="1"/>
      <c r="G62" s="1"/>
      <c r="H62" s="1">
        <v>40154.25</v>
      </c>
      <c r="I62" s="1"/>
      <c r="J62" s="1"/>
      <c r="K62" s="1"/>
      <c r="L62" s="1"/>
      <c r="M62" s="1"/>
      <c r="N62" s="1"/>
      <c r="O62" s="1"/>
      <c r="P62" s="1"/>
      <c r="Q62" s="1"/>
      <c r="R62" s="1"/>
      <c r="S62" s="1"/>
      <c r="T62" s="1"/>
      <c r="U62" s="1"/>
      <c r="V62" s="1"/>
      <c r="W62" s="1"/>
      <c r="X62" s="1"/>
      <c r="Y62" s="1"/>
      <c r="Z62" s="1">
        <v>40200.25</v>
      </c>
      <c r="AA62" s="1"/>
      <c r="AB62" s="1"/>
      <c r="AC62" s="1">
        <v>40210.25</v>
      </c>
      <c r="AD62" s="1"/>
      <c r="AE62" s="1"/>
      <c r="AF62" s="1">
        <v>40233.25</v>
      </c>
      <c r="AG62" s="1"/>
      <c r="AH62" s="1"/>
      <c r="AI62" s="1"/>
      <c r="AJ62" s="1"/>
      <c r="AK62" s="1"/>
      <c r="AL62" s="1"/>
      <c r="AM62" s="1"/>
      <c r="AN62" s="1"/>
      <c r="AO62" s="1"/>
      <c r="AP62" s="1"/>
      <c r="AQ62" s="1"/>
      <c r="AR62" s="1"/>
      <c r="AS62" s="1">
        <v>40512.25</v>
      </c>
      <c r="AT62" s="1"/>
      <c r="AU62" s="1"/>
      <c r="AV62" s="1">
        <v>40484.208333333343</v>
      </c>
      <c r="AW62" s="1"/>
      <c r="AX62" s="1"/>
      <c r="AY62" s="1"/>
      <c r="AZ62" s="1">
        <v>40532.25</v>
      </c>
      <c r="BA62" s="1"/>
      <c r="BB62" s="1"/>
      <c r="BC62" s="1"/>
      <c r="BD62" s="1"/>
      <c r="BE62" s="1"/>
      <c r="BF62" s="1"/>
      <c r="BG62" s="1"/>
      <c r="BH62" s="1"/>
      <c r="BI62" s="1"/>
      <c r="BJ62" s="1"/>
      <c r="BK62" s="1"/>
      <c r="BL62" s="1"/>
      <c r="BM62" s="1"/>
      <c r="BN62" s="1"/>
      <c r="BO62" s="1"/>
      <c r="BP62" s="1"/>
      <c r="BQ62" s="1"/>
      <c r="BR62" s="1"/>
      <c r="BS62" s="1"/>
      <c r="BT62" s="1">
        <v>40533.25</v>
      </c>
      <c r="BU62" s="1"/>
      <c r="BV62" s="1"/>
      <c r="BW62" s="1"/>
      <c r="BX62" s="1"/>
      <c r="BY62" s="1">
        <v>40638.25</v>
      </c>
      <c r="BZ62" s="1"/>
      <c r="CA62" s="1"/>
      <c r="CB62" s="1"/>
      <c r="CC62" s="1"/>
      <c r="CD62" s="1"/>
      <c r="CE62" s="1"/>
      <c r="CF62" s="1"/>
      <c r="CG62" s="1"/>
      <c r="CH62" s="1"/>
      <c r="CI62" s="1"/>
      <c r="CJ62" s="1"/>
      <c r="CK62" s="1"/>
      <c r="CL62" s="1"/>
      <c r="CM62" s="1"/>
      <c r="CN62" s="1"/>
      <c r="CO62" s="1"/>
      <c r="CP62" s="1"/>
      <c r="CQ62" s="1"/>
      <c r="CR62" s="1">
        <v>40654.25</v>
      </c>
      <c r="CS62" s="1"/>
      <c r="CT62" s="1"/>
      <c r="CU62" s="1"/>
      <c r="CV62" s="1"/>
      <c r="CW62" s="1"/>
      <c r="CX62" s="1"/>
      <c r="CY62" s="1"/>
      <c r="CZ62" s="1"/>
      <c r="DA62" s="1"/>
      <c r="DB62" s="1"/>
      <c r="DC62" s="1"/>
      <c r="DD62" s="1">
        <v>40946.25</v>
      </c>
      <c r="DE62" s="1"/>
      <c r="DF62" s="1"/>
      <c r="DG62" s="1"/>
      <c r="DH62" s="1">
        <v>40938.25</v>
      </c>
      <c r="DI62" s="1"/>
      <c r="DJ62" s="1">
        <v>40921.25</v>
      </c>
      <c r="DK62" s="1"/>
      <c r="DL62" s="1">
        <v>40949.25</v>
      </c>
      <c r="DM62" s="1"/>
      <c r="DN62" s="1"/>
      <c r="DO62" s="1"/>
      <c r="DP62" s="1"/>
      <c r="DQ62" s="1"/>
      <c r="DR62" s="1"/>
      <c r="DS62" s="1"/>
      <c r="DT62" s="1"/>
      <c r="DU62" s="1"/>
      <c r="DV62" s="1"/>
      <c r="DW62" s="1"/>
      <c r="DX62" s="1"/>
      <c r="DY62" s="1">
        <v>40949.25</v>
      </c>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row>
    <row r="63" spans="1:216" x14ac:dyDescent="0.3">
      <c r="A63" s="3" t="str">
        <f>HYPERLINK("https://hpr-rps.hres.ca/reg-content/summary-basis-decision-detailOne.php?lang=en&amp;linkID=SBD00061", "Feraheme")</f>
        <v>Feraheme</v>
      </c>
      <c r="B63" s="1" t="s">
        <v>240</v>
      </c>
      <c r="C63" s="1" t="s">
        <v>241</v>
      </c>
      <c r="D63" s="1" t="s">
        <v>242</v>
      </c>
      <c r="E63" s="1">
        <v>39827.25</v>
      </c>
      <c r="F63" s="1"/>
      <c r="G63" s="1"/>
      <c r="H63" s="1">
        <v>40165.25</v>
      </c>
      <c r="I63" s="1"/>
      <c r="J63" s="1"/>
      <c r="K63" s="1"/>
      <c r="L63" s="1"/>
      <c r="M63" s="1"/>
      <c r="N63" s="1"/>
      <c r="O63" s="1"/>
      <c r="P63" s="1"/>
      <c r="Q63" s="1"/>
      <c r="R63" s="1"/>
      <c r="S63" s="1"/>
      <c r="T63" s="1"/>
      <c r="U63" s="1"/>
      <c r="V63" s="1"/>
      <c r="W63" s="1"/>
      <c r="X63" s="1"/>
      <c r="Y63" s="1"/>
      <c r="Z63" s="1">
        <v>40213.25</v>
      </c>
      <c r="AA63" s="1"/>
      <c r="AB63" s="1"/>
      <c r="AC63" s="1">
        <v>40227.25</v>
      </c>
      <c r="AD63" s="1"/>
      <c r="AE63" s="1"/>
      <c r="AF63" s="1">
        <v>40269.25</v>
      </c>
      <c r="AG63" s="1"/>
      <c r="AH63" s="1"/>
      <c r="AI63" s="1"/>
      <c r="AJ63" s="1"/>
      <c r="AK63" s="1"/>
      <c r="AL63" s="1"/>
      <c r="AM63" s="1"/>
      <c r="AN63" s="1"/>
      <c r="AO63" s="1"/>
      <c r="AP63" s="1"/>
      <c r="AQ63" s="1"/>
      <c r="AR63" s="1">
        <v>40569.25</v>
      </c>
      <c r="AS63" s="1"/>
      <c r="AT63" s="1"/>
      <c r="AU63" s="1"/>
      <c r="AV63" s="1">
        <v>40569.25</v>
      </c>
      <c r="AW63" s="1"/>
      <c r="AX63" s="1"/>
      <c r="AY63" s="1"/>
      <c r="AZ63" s="1">
        <v>40569.25</v>
      </c>
      <c r="BA63" s="1"/>
      <c r="BB63" s="1"/>
      <c r="BC63" s="1"/>
      <c r="BD63" s="1"/>
      <c r="BE63" s="1"/>
      <c r="BF63" s="1"/>
      <c r="BG63" s="1"/>
      <c r="BH63" s="1"/>
      <c r="BI63" s="1"/>
      <c r="BJ63" s="1"/>
      <c r="BK63" s="1"/>
      <c r="BL63" s="1"/>
      <c r="BM63" s="1"/>
      <c r="BN63" s="1"/>
      <c r="BO63" s="1"/>
      <c r="BP63" s="1"/>
      <c r="BQ63" s="1"/>
      <c r="BR63" s="1"/>
      <c r="BS63" s="1"/>
      <c r="BT63" s="1">
        <v>40569.25</v>
      </c>
      <c r="BU63" s="1"/>
      <c r="BV63" s="1"/>
      <c r="BW63" s="1"/>
      <c r="BX63" s="1"/>
      <c r="BY63" s="1">
        <v>40569.25</v>
      </c>
      <c r="BZ63" s="1"/>
      <c r="CA63" s="1"/>
      <c r="CB63" s="1"/>
      <c r="CC63" s="1"/>
      <c r="CD63" s="1"/>
      <c r="CE63" s="1"/>
      <c r="CF63" s="1"/>
      <c r="CG63" s="1"/>
      <c r="CH63" s="1"/>
      <c r="CI63" s="1"/>
      <c r="CJ63" s="1"/>
      <c r="CK63" s="1"/>
      <c r="CL63" s="1"/>
      <c r="CM63" s="1"/>
      <c r="CN63" s="1"/>
      <c r="CO63" s="1"/>
      <c r="CP63" s="1"/>
      <c r="CQ63" s="1"/>
      <c r="CR63" s="1">
        <v>40735.25</v>
      </c>
      <c r="CS63" s="1"/>
      <c r="CT63" s="1"/>
      <c r="CU63" s="1"/>
      <c r="CV63" s="1"/>
      <c r="CW63" s="1"/>
      <c r="CX63" s="1"/>
      <c r="CY63" s="1"/>
      <c r="CZ63" s="1"/>
      <c r="DA63" s="1"/>
      <c r="DB63" s="1"/>
      <c r="DC63" s="1"/>
      <c r="DD63" s="1">
        <v>40884.25</v>
      </c>
      <c r="DE63" s="1"/>
      <c r="DF63" s="1"/>
      <c r="DG63" s="1"/>
      <c r="DH63" s="1">
        <v>40883.25</v>
      </c>
      <c r="DI63" s="1"/>
      <c r="DJ63" s="1"/>
      <c r="DK63" s="1"/>
      <c r="DL63" s="1">
        <v>40884.25</v>
      </c>
      <c r="DM63" s="1"/>
      <c r="DN63" s="1"/>
      <c r="DO63" s="1"/>
      <c r="DP63" s="1"/>
      <c r="DQ63" s="1"/>
      <c r="DR63" s="1"/>
      <c r="DS63" s="1"/>
      <c r="DT63" s="1"/>
      <c r="DU63" s="1"/>
      <c r="DV63" s="1"/>
      <c r="DW63" s="1"/>
      <c r="DX63" s="1"/>
      <c r="DY63" s="1">
        <v>40885.25</v>
      </c>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row>
    <row r="64" spans="1:216" x14ac:dyDescent="0.3">
      <c r="A64" s="3" t="str">
        <f>HYPERLINK("https://hpr-rps.hres.ca/reg-content/summary-basis-decision-detailOne.php?lang=en&amp;linkID=SBD00062", "Finacea ®")</f>
        <v>Finacea ®</v>
      </c>
      <c r="B64" s="1" t="s">
        <v>243</v>
      </c>
      <c r="C64" s="1" t="s">
        <v>244</v>
      </c>
      <c r="D64" s="1" t="s">
        <v>245</v>
      </c>
      <c r="E64" s="1"/>
      <c r="F64" s="1"/>
      <c r="G64" s="1"/>
      <c r="H64" s="1">
        <v>38194.25</v>
      </c>
      <c r="I64" s="1"/>
      <c r="J64" s="1"/>
      <c r="K64" s="1"/>
      <c r="L64" s="1"/>
      <c r="M64" s="1"/>
      <c r="N64" s="1"/>
      <c r="O64" s="1"/>
      <c r="P64" s="1"/>
      <c r="Q64" s="1"/>
      <c r="R64" s="1"/>
      <c r="S64" s="1"/>
      <c r="T64" s="1"/>
      <c r="U64" s="1"/>
      <c r="V64" s="1"/>
      <c r="W64" s="1"/>
      <c r="X64" s="1"/>
      <c r="Y64" s="1"/>
      <c r="Z64" s="1">
        <v>38233.25</v>
      </c>
      <c r="AA64" s="1"/>
      <c r="AB64" s="1"/>
      <c r="AC64" s="1"/>
      <c r="AD64" s="1"/>
      <c r="AE64" s="1"/>
      <c r="AF64" s="1">
        <v>38300.25</v>
      </c>
      <c r="AG64" s="1"/>
      <c r="AH64" s="1"/>
      <c r="AI64" s="1"/>
      <c r="AJ64" s="1">
        <v>38251.25</v>
      </c>
      <c r="AK64" s="1"/>
      <c r="AL64" s="1"/>
      <c r="AM64" s="1"/>
      <c r="AN64" s="1"/>
      <c r="AO64" s="1"/>
      <c r="AP64" s="1"/>
      <c r="AQ64" s="1"/>
      <c r="AR64" s="1"/>
      <c r="AS64" s="1"/>
      <c r="AT64" s="1"/>
      <c r="AU64" s="1"/>
      <c r="AV64" s="1">
        <v>38569.25</v>
      </c>
      <c r="AW64" s="1"/>
      <c r="AX64" s="1"/>
      <c r="AY64" s="1"/>
      <c r="AZ64" s="1">
        <v>38560.25</v>
      </c>
      <c r="BA64" s="1"/>
      <c r="BB64" s="1"/>
      <c r="BC64" s="1"/>
      <c r="BD64" s="1"/>
      <c r="BE64" s="1">
        <v>38595.25</v>
      </c>
      <c r="BF64" s="1"/>
      <c r="BG64" s="1"/>
      <c r="BH64" s="1"/>
      <c r="BI64" s="1"/>
      <c r="BJ64" s="1"/>
      <c r="BK64" s="1"/>
      <c r="BL64" s="1"/>
      <c r="BM64" s="1">
        <v>38596.25</v>
      </c>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row>
    <row r="65" spans="1:216" x14ac:dyDescent="0.3">
      <c r="A65" s="3" t="str">
        <f>HYPERLINK("https://hpr-rps.hres.ca/reg-content/summary-basis-decision-detailOne.php?lang=en&amp;linkID=SBD00063", "Firmagon ® ")</f>
        <v xml:space="preserve">Firmagon ® </v>
      </c>
      <c r="B65" s="1" t="s">
        <v>246</v>
      </c>
      <c r="C65" s="1" t="s">
        <v>247</v>
      </c>
      <c r="D65" s="1" t="s">
        <v>248</v>
      </c>
      <c r="E65" s="1">
        <v>39583.25</v>
      </c>
      <c r="F65" s="1"/>
      <c r="G65" s="1"/>
      <c r="H65" s="1">
        <v>39601.25</v>
      </c>
      <c r="I65" s="1"/>
      <c r="J65" s="1"/>
      <c r="K65" s="1"/>
      <c r="L65" s="1"/>
      <c r="M65" s="1"/>
      <c r="N65" s="1"/>
      <c r="O65" s="1"/>
      <c r="P65" s="1"/>
      <c r="Q65" s="1"/>
      <c r="R65" s="1"/>
      <c r="S65" s="1"/>
      <c r="T65" s="1"/>
      <c r="U65" s="1"/>
      <c r="V65" s="1"/>
      <c r="W65" s="1"/>
      <c r="X65" s="1"/>
      <c r="Y65" s="1"/>
      <c r="Z65" s="1"/>
      <c r="AA65" s="1"/>
      <c r="AB65" s="1"/>
      <c r="AC65" s="1"/>
      <c r="AD65" s="1"/>
      <c r="AE65" s="1"/>
      <c r="AF65" s="1">
        <v>39647.25</v>
      </c>
      <c r="AG65" s="1"/>
      <c r="AH65" s="1"/>
      <c r="AI65" s="1"/>
      <c r="AJ65" s="1"/>
      <c r="AK65" s="1"/>
      <c r="AL65" s="1"/>
      <c r="AM65" s="1"/>
      <c r="AN65" s="1"/>
      <c r="AO65" s="1"/>
      <c r="AP65" s="1"/>
      <c r="AQ65" s="1"/>
      <c r="AR65" s="1"/>
      <c r="AS65" s="1"/>
      <c r="AT65" s="1"/>
      <c r="AU65" s="1"/>
      <c r="AV65" s="1">
        <v>39947.25</v>
      </c>
      <c r="AW65" s="1"/>
      <c r="AX65" s="1"/>
      <c r="AY65" s="1"/>
      <c r="AZ65" s="1">
        <v>39947.25</v>
      </c>
      <c r="BA65" s="1"/>
      <c r="BB65" s="1"/>
      <c r="BC65" s="1"/>
      <c r="BD65" s="1"/>
      <c r="BE65" s="1"/>
      <c r="BF65" s="1"/>
      <c r="BG65" s="1"/>
      <c r="BH65" s="1"/>
      <c r="BI65" s="1"/>
      <c r="BJ65" s="1"/>
      <c r="BK65" s="1"/>
      <c r="BL65" s="1"/>
      <c r="BM65" s="1"/>
      <c r="BN65" s="1"/>
      <c r="BO65" s="1"/>
      <c r="BP65" s="1"/>
      <c r="BQ65" s="1"/>
      <c r="BR65" s="1"/>
      <c r="BS65" s="1"/>
      <c r="BT65" s="1">
        <v>39947.25</v>
      </c>
      <c r="BU65" s="1"/>
      <c r="BV65" s="1"/>
      <c r="BW65" s="1"/>
      <c r="BX65" s="1"/>
      <c r="BY65" s="1">
        <v>40007.25</v>
      </c>
      <c r="BZ65" s="1"/>
      <c r="CA65" s="1"/>
      <c r="CB65" s="1"/>
      <c r="CC65" s="1"/>
      <c r="CD65" s="1"/>
      <c r="CE65" s="1"/>
      <c r="CF65" s="1"/>
      <c r="CG65" s="1"/>
      <c r="CH65" s="1"/>
      <c r="CI65" s="1"/>
      <c r="CJ65" s="1"/>
      <c r="CK65" s="1"/>
      <c r="CL65" s="1"/>
      <c r="CM65" s="1"/>
      <c r="CN65" s="1"/>
      <c r="CO65" s="1"/>
      <c r="CP65" s="1"/>
      <c r="CQ65" s="1"/>
      <c r="CR65" s="1">
        <v>40030.25</v>
      </c>
      <c r="CS65" s="1"/>
      <c r="CT65" s="1"/>
      <c r="CU65" s="1"/>
      <c r="CV65" s="1"/>
      <c r="CW65" s="1"/>
      <c r="CX65" s="1"/>
      <c r="CY65" s="1"/>
      <c r="CZ65" s="1"/>
      <c r="DA65" s="1"/>
      <c r="DB65" s="1"/>
      <c r="DC65" s="1"/>
      <c r="DD65" s="1">
        <v>40115.208333333343</v>
      </c>
      <c r="DE65" s="1"/>
      <c r="DF65" s="1"/>
      <c r="DG65" s="1"/>
      <c r="DH65" s="1">
        <v>40088.25</v>
      </c>
      <c r="DI65" s="1"/>
      <c r="DJ65" s="1"/>
      <c r="DK65" s="1"/>
      <c r="DL65" s="1">
        <v>40122.25</v>
      </c>
      <c r="DM65" s="1"/>
      <c r="DN65" s="1"/>
      <c r="DO65" s="1"/>
      <c r="DP65" s="1"/>
      <c r="DQ65" s="1"/>
      <c r="DR65" s="1"/>
      <c r="DS65" s="1"/>
      <c r="DT65" s="1"/>
      <c r="DU65" s="1"/>
      <c r="DV65" s="1"/>
      <c r="DW65" s="1"/>
      <c r="DX65" s="1"/>
      <c r="DY65" s="1">
        <v>40133.25</v>
      </c>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row>
    <row r="66" spans="1:216" x14ac:dyDescent="0.3">
      <c r="A66" s="3" t="str">
        <f>HYPERLINK("https://hpr-rps.hres.ca/reg-content/summary-basis-decision-detailOne.php?lang=en&amp;linkID=SBD00064", "Flumist ®")</f>
        <v>Flumist ®</v>
      </c>
      <c r="B66" s="1" t="s">
        <v>249</v>
      </c>
      <c r="C66" s="1" t="s">
        <v>250</v>
      </c>
      <c r="D66" s="1" t="s">
        <v>251</v>
      </c>
      <c r="E66" s="1">
        <v>39954.25</v>
      </c>
      <c r="F66" s="1"/>
      <c r="G66" s="1"/>
      <c r="H66" s="1">
        <v>40015.25</v>
      </c>
      <c r="I66" s="1"/>
      <c r="J66" s="1"/>
      <c r="K66" s="1"/>
      <c r="L66" s="1"/>
      <c r="M66" s="1"/>
      <c r="N66" s="1"/>
      <c r="O66" s="1"/>
      <c r="P66" s="1"/>
      <c r="Q66" s="1"/>
      <c r="R66" s="1"/>
      <c r="S66" s="1"/>
      <c r="T66" s="1"/>
      <c r="U66" s="1"/>
      <c r="V66" s="1"/>
      <c r="W66" s="1"/>
      <c r="X66" s="1"/>
      <c r="Y66" s="1"/>
      <c r="Z66" s="1"/>
      <c r="AA66" s="1"/>
      <c r="AB66" s="1"/>
      <c r="AC66" s="1"/>
      <c r="AD66" s="1"/>
      <c r="AE66" s="1"/>
      <c r="AF66" s="1">
        <v>40053.25</v>
      </c>
      <c r="AG66" s="1"/>
      <c r="AH66" s="1"/>
      <c r="AI66" s="1"/>
      <c r="AJ66" s="1"/>
      <c r="AK66" s="1"/>
      <c r="AL66" s="1"/>
      <c r="AM66" s="1"/>
      <c r="AN66" s="1"/>
      <c r="AO66" s="1"/>
      <c r="AP66" s="1"/>
      <c r="AQ66" s="1"/>
      <c r="AR66" s="1">
        <v>40337.25</v>
      </c>
      <c r="AS66" s="1"/>
      <c r="AT66" s="1"/>
      <c r="AU66" s="1"/>
      <c r="AV66" s="1">
        <v>40347.25</v>
      </c>
      <c r="AW66" s="1"/>
      <c r="AX66" s="1"/>
      <c r="AY66" s="1"/>
      <c r="AZ66" s="1">
        <v>40350.25</v>
      </c>
      <c r="BA66" s="1"/>
      <c r="BB66" s="1"/>
      <c r="BC66" s="1"/>
      <c r="BD66" s="1"/>
      <c r="BE66" s="1"/>
      <c r="BF66" s="1"/>
      <c r="BG66" s="1"/>
      <c r="BH66" s="1"/>
      <c r="BI66" s="1"/>
      <c r="BJ66" s="1"/>
      <c r="BK66" s="1"/>
      <c r="BL66" s="1"/>
      <c r="BM66" s="1">
        <v>40351.25</v>
      </c>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row>
    <row r="67" spans="1:216" x14ac:dyDescent="0.3">
      <c r="A67" s="3" t="str">
        <f>HYPERLINK("https://hpr-rps.hres.ca/reg-content/summary-basis-decision-detailOne.php?lang=en&amp;linkID=SBD00065", "Fosrenol ®")</f>
        <v>Fosrenol ®</v>
      </c>
      <c r="B67" s="1" t="s">
        <v>252</v>
      </c>
      <c r="C67" s="1" t="s">
        <v>253</v>
      </c>
      <c r="D67" s="1" t="s">
        <v>254</v>
      </c>
      <c r="E67" s="1">
        <v>37419.25</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v>37445.25</v>
      </c>
      <c r="AG67" s="1"/>
      <c r="AH67" s="1"/>
      <c r="AI67" s="1"/>
      <c r="AJ67" s="1"/>
      <c r="AK67" s="1"/>
      <c r="AL67" s="1"/>
      <c r="AM67" s="1"/>
      <c r="AN67" s="1">
        <v>38482.25</v>
      </c>
      <c r="AO67" s="1">
        <v>38660.25</v>
      </c>
      <c r="AP67" s="1"/>
      <c r="AQ67" s="1"/>
      <c r="AR67" s="1"/>
      <c r="AS67" s="1"/>
      <c r="AT67" s="1"/>
      <c r="AU67" s="1"/>
      <c r="AV67" s="1">
        <v>37798.25</v>
      </c>
      <c r="AW67" s="1"/>
      <c r="AX67" s="1"/>
      <c r="AY67" s="1"/>
      <c r="AZ67" s="1">
        <v>37748.25</v>
      </c>
      <c r="BA67" s="1"/>
      <c r="BB67" s="1"/>
      <c r="BC67" s="1"/>
      <c r="BD67" s="1"/>
      <c r="BE67" s="1"/>
      <c r="BF67" s="1"/>
      <c r="BG67" s="1"/>
      <c r="BH67" s="1"/>
      <c r="BI67" s="1"/>
      <c r="BJ67" s="1"/>
      <c r="BK67" s="1"/>
      <c r="BL67" s="1"/>
      <c r="BM67" s="1"/>
      <c r="BN67" s="1"/>
      <c r="BO67" s="1"/>
      <c r="BP67" s="1"/>
      <c r="BQ67" s="1"/>
      <c r="BR67" s="1"/>
      <c r="BS67" s="1">
        <v>37937.25</v>
      </c>
      <c r="BT67" s="1">
        <v>37823.25</v>
      </c>
      <c r="BU67" s="1"/>
      <c r="BV67" s="1"/>
      <c r="BW67" s="1"/>
      <c r="BX67" s="1"/>
      <c r="BY67" s="1"/>
      <c r="BZ67" s="1"/>
      <c r="CA67" s="1"/>
      <c r="CB67" s="1"/>
      <c r="CC67" s="1">
        <v>38643.25</v>
      </c>
      <c r="CD67" s="1"/>
      <c r="CE67" s="1"/>
      <c r="CF67" s="1"/>
      <c r="CG67" s="1">
        <v>38660.25</v>
      </c>
      <c r="CH67" s="1"/>
      <c r="CI67" s="1"/>
      <c r="CJ67" s="1"/>
      <c r="CK67" s="1"/>
      <c r="CL67" s="1"/>
      <c r="CM67" s="1"/>
      <c r="CN67" s="1"/>
      <c r="CO67" s="1"/>
      <c r="CP67" s="1"/>
      <c r="CQ67" s="1"/>
      <c r="CR67" s="1">
        <v>38708.25</v>
      </c>
      <c r="CS67" s="1"/>
      <c r="CT67" s="1"/>
      <c r="CU67" s="1"/>
      <c r="CV67" s="1"/>
      <c r="CW67" s="1"/>
      <c r="CX67" s="1"/>
      <c r="CY67" s="1"/>
      <c r="CZ67" s="1"/>
      <c r="DA67" s="1"/>
      <c r="DB67" s="1"/>
      <c r="DC67" s="1"/>
      <c r="DD67" s="1">
        <v>39006.25</v>
      </c>
      <c r="DE67" s="1"/>
      <c r="DF67" s="1"/>
      <c r="DG67" s="1"/>
      <c r="DH67" s="1">
        <v>38995.25</v>
      </c>
      <c r="DI67" s="1"/>
      <c r="DJ67" s="1"/>
      <c r="DK67" s="1"/>
      <c r="DL67" s="1">
        <v>39003.25</v>
      </c>
      <c r="DM67" s="1"/>
      <c r="DN67" s="1"/>
      <c r="DO67" s="1"/>
      <c r="DP67" s="1"/>
      <c r="DQ67" s="1"/>
      <c r="DR67" s="1"/>
      <c r="DS67" s="1"/>
      <c r="DT67" s="1"/>
      <c r="DU67" s="1"/>
      <c r="DV67" s="1"/>
      <c r="DW67" s="1"/>
      <c r="DX67" s="1"/>
      <c r="DY67" s="1">
        <v>39007.25</v>
      </c>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row>
    <row r="68" spans="1:216" x14ac:dyDescent="0.3">
      <c r="A68" s="3" t="str">
        <f>HYPERLINK("https://hpr-rps.hres.ca/reg-content/summary-basis-decision-detailOne.php?lang=en&amp;linkID=SBD00066", "Gardasil TM")</f>
        <v>Gardasil TM</v>
      </c>
      <c r="B68" s="1" t="s">
        <v>255</v>
      </c>
      <c r="C68" s="1" t="s">
        <v>212</v>
      </c>
      <c r="D68" s="1" t="s">
        <v>256</v>
      </c>
      <c r="E68" s="1">
        <v>38653.25</v>
      </c>
      <c r="F68" s="1"/>
      <c r="G68" s="1"/>
      <c r="H68" s="1"/>
      <c r="I68" s="1"/>
      <c r="J68" s="1"/>
      <c r="K68" s="1"/>
      <c r="L68" s="1"/>
      <c r="M68" s="1"/>
      <c r="N68" s="1">
        <v>38670.25</v>
      </c>
      <c r="O68" s="1"/>
      <c r="P68" s="1"/>
      <c r="Q68" s="1"/>
      <c r="R68" s="1"/>
      <c r="S68" s="1">
        <v>38701.25</v>
      </c>
      <c r="T68" s="1"/>
      <c r="U68" s="1"/>
      <c r="V68" s="1">
        <v>38698.25</v>
      </c>
      <c r="W68" s="1"/>
      <c r="X68" s="1"/>
      <c r="Y68" s="1"/>
      <c r="Z68" s="1"/>
      <c r="AA68" s="1"/>
      <c r="AB68" s="1"/>
      <c r="AC68" s="1"/>
      <c r="AD68" s="1"/>
      <c r="AE68" s="1"/>
      <c r="AF68" s="1">
        <v>38729.25</v>
      </c>
      <c r="AG68" s="1"/>
      <c r="AH68" s="1"/>
      <c r="AI68" s="1"/>
      <c r="AJ68" s="1"/>
      <c r="AK68" s="1"/>
      <c r="AL68" s="1"/>
      <c r="AM68" s="1"/>
      <c r="AN68" s="1"/>
      <c r="AO68" s="1">
        <v>38880.25</v>
      </c>
      <c r="AP68" s="1"/>
      <c r="AQ68" s="1"/>
      <c r="AR68" s="1">
        <v>38903.25</v>
      </c>
      <c r="AS68" s="1"/>
      <c r="AT68" s="1"/>
      <c r="AU68" s="1"/>
      <c r="AV68" s="1">
        <v>38905.25</v>
      </c>
      <c r="AW68" s="1"/>
      <c r="AX68" s="1"/>
      <c r="AY68" s="1"/>
      <c r="AZ68" s="1">
        <v>38908.25</v>
      </c>
      <c r="BA68" s="1"/>
      <c r="BB68" s="1"/>
      <c r="BC68" s="1"/>
      <c r="BD68" s="1"/>
      <c r="BE68" s="1"/>
      <c r="BF68" s="1"/>
      <c r="BG68" s="1"/>
      <c r="BH68" s="1"/>
      <c r="BI68" s="1"/>
      <c r="BJ68" s="1"/>
      <c r="BK68" s="1"/>
      <c r="BL68" s="1"/>
      <c r="BM68" s="1">
        <v>38908.25</v>
      </c>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row>
    <row r="69" spans="1:216" x14ac:dyDescent="0.3">
      <c r="A69" s="3" t="str">
        <f>HYPERLINK("https://hpr-rps.hres.ca/reg-content/summary-basis-decision-detailOne.php?lang=en&amp;linkID=SBD00067", "Gilenya")</f>
        <v>Gilenya</v>
      </c>
      <c r="B69" s="1" t="s">
        <v>257</v>
      </c>
      <c r="C69" s="1" t="s">
        <v>87</v>
      </c>
      <c r="D69" s="1" t="s">
        <v>258</v>
      </c>
      <c r="E69" s="1">
        <v>40198.25</v>
      </c>
      <c r="F69" s="1"/>
      <c r="G69" s="1"/>
      <c r="H69" s="1"/>
      <c r="I69" s="1"/>
      <c r="J69" s="1"/>
      <c r="K69" s="1"/>
      <c r="L69" s="1"/>
      <c r="M69" s="1"/>
      <c r="N69" s="1">
        <v>40224.25</v>
      </c>
      <c r="O69" s="1"/>
      <c r="P69" s="1"/>
      <c r="Q69" s="1"/>
      <c r="R69" s="1"/>
      <c r="S69" s="1"/>
      <c r="T69" s="1">
        <v>40255.208333333343</v>
      </c>
      <c r="U69" s="1"/>
      <c r="V69" s="1">
        <v>40259.208333333343</v>
      </c>
      <c r="W69" s="1"/>
      <c r="X69" s="1"/>
      <c r="Y69" s="1"/>
      <c r="Z69" s="1"/>
      <c r="AA69" s="1"/>
      <c r="AB69" s="1"/>
      <c r="AC69" s="1"/>
      <c r="AD69" s="1"/>
      <c r="AE69" s="1"/>
      <c r="AF69" s="1">
        <v>40311.25</v>
      </c>
      <c r="AG69" s="1"/>
      <c r="AH69" s="1"/>
      <c r="AI69" s="1"/>
      <c r="AJ69" s="1"/>
      <c r="AK69" s="1"/>
      <c r="AL69" s="1"/>
      <c r="AM69" s="1"/>
      <c r="AN69" s="1"/>
      <c r="AO69" s="1"/>
      <c r="AP69" s="1"/>
      <c r="AQ69" s="1"/>
      <c r="AR69" s="1">
        <v>40609.25</v>
      </c>
      <c r="AS69" s="1"/>
      <c r="AT69" s="1"/>
      <c r="AU69" s="1"/>
      <c r="AV69" s="1">
        <v>40606.25</v>
      </c>
      <c r="AW69" s="1"/>
      <c r="AX69" s="1"/>
      <c r="AY69" s="1"/>
      <c r="AZ69" s="1">
        <v>40607.25</v>
      </c>
      <c r="BA69" s="1"/>
      <c r="BB69" s="1"/>
      <c r="BC69" s="1"/>
      <c r="BD69" s="1"/>
      <c r="BE69" s="1"/>
      <c r="BF69" s="1"/>
      <c r="BG69" s="1"/>
      <c r="BH69" s="1"/>
      <c r="BI69" s="1"/>
      <c r="BJ69" s="1"/>
      <c r="BK69" s="1"/>
      <c r="BL69" s="1"/>
      <c r="BM69" s="1">
        <v>40611.25</v>
      </c>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row>
    <row r="70" spans="1:216" x14ac:dyDescent="0.3">
      <c r="A70" s="3" t="str">
        <f>HYPERLINK("https://hpr-rps.hres.ca/reg-content/summary-basis-decision-detailOne.php?lang=en&amp;linkID=SBD00068", "Halaven TM")</f>
        <v>Halaven TM</v>
      </c>
      <c r="B70" s="1" t="s">
        <v>259</v>
      </c>
      <c r="C70" s="1" t="s">
        <v>90</v>
      </c>
      <c r="D70" s="1" t="s">
        <v>260</v>
      </c>
      <c r="E70" s="1"/>
      <c r="F70" s="1"/>
      <c r="G70" s="1"/>
      <c r="H70" s="1"/>
      <c r="I70" s="1"/>
      <c r="J70" s="1"/>
      <c r="K70" s="1"/>
      <c r="L70" s="1"/>
      <c r="M70" s="1"/>
      <c r="N70" s="1">
        <v>40448.25</v>
      </c>
      <c r="O70" s="1"/>
      <c r="P70" s="1"/>
      <c r="Q70" s="1"/>
      <c r="R70" s="1"/>
      <c r="S70" s="1"/>
      <c r="T70" s="1">
        <v>40498.25</v>
      </c>
      <c r="U70" s="1"/>
      <c r="V70" s="1">
        <v>40543.25</v>
      </c>
      <c r="W70" s="1"/>
      <c r="X70" s="1"/>
      <c r="Y70" s="1"/>
      <c r="Z70" s="1"/>
      <c r="AA70" s="1"/>
      <c r="AB70" s="1"/>
      <c r="AC70" s="1"/>
      <c r="AD70" s="1"/>
      <c r="AE70" s="1"/>
      <c r="AF70" s="1">
        <v>40592.25</v>
      </c>
      <c r="AG70" s="1"/>
      <c r="AH70" s="1"/>
      <c r="AI70" s="1"/>
      <c r="AJ70" s="1"/>
      <c r="AK70" s="1"/>
      <c r="AL70" s="1"/>
      <c r="AM70" s="1"/>
      <c r="AN70" s="1"/>
      <c r="AO70" s="1"/>
      <c r="AP70" s="1"/>
      <c r="AQ70" s="1"/>
      <c r="AR70" s="1">
        <v>40891.25</v>
      </c>
      <c r="AS70" s="1"/>
      <c r="AT70" s="1"/>
      <c r="AU70" s="1"/>
      <c r="AV70" s="1">
        <v>40890.25</v>
      </c>
      <c r="AW70" s="1"/>
      <c r="AX70" s="1">
        <v>40835.25</v>
      </c>
      <c r="AY70" s="1"/>
      <c r="AZ70" s="1">
        <v>40891.25</v>
      </c>
      <c r="BA70" s="1"/>
      <c r="BB70" s="1"/>
      <c r="BC70" s="1"/>
      <c r="BD70" s="1"/>
      <c r="BE70" s="1"/>
      <c r="BF70" s="1"/>
      <c r="BG70" s="1"/>
      <c r="BH70" s="1"/>
      <c r="BI70" s="1"/>
      <c r="BJ70" s="1"/>
      <c r="BK70" s="1"/>
      <c r="BL70" s="1"/>
      <c r="BM70" s="1">
        <v>40891.25</v>
      </c>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row>
    <row r="71" spans="1:216" x14ac:dyDescent="0.3">
      <c r="A71" s="3" t="str">
        <f>HYPERLINK("https://hpr-rps.hres.ca/reg-content/summary-basis-decision-detailOne.php?lang=en&amp;linkID=SBD00071", "Inlyta TM")</f>
        <v>Inlyta TM</v>
      </c>
      <c r="B71" s="1" t="s">
        <v>261</v>
      </c>
      <c r="C71" s="1" t="s">
        <v>143</v>
      </c>
      <c r="D71" s="1" t="s">
        <v>262</v>
      </c>
      <c r="E71" s="1">
        <v>40386.25</v>
      </c>
      <c r="F71" s="1"/>
      <c r="G71" s="1"/>
      <c r="H71" s="1">
        <v>40722.25</v>
      </c>
      <c r="I71" s="1"/>
      <c r="J71" s="1"/>
      <c r="K71" s="1"/>
      <c r="L71" s="1"/>
      <c r="M71" s="1"/>
      <c r="N71" s="1"/>
      <c r="O71" s="1"/>
      <c r="P71" s="1"/>
      <c r="Q71" s="1"/>
      <c r="R71" s="1"/>
      <c r="S71" s="1"/>
      <c r="T71" s="1"/>
      <c r="U71" s="1"/>
      <c r="V71" s="1"/>
      <c r="W71" s="1"/>
      <c r="X71" s="1"/>
      <c r="Y71" s="1"/>
      <c r="Z71" s="1">
        <v>40780.25</v>
      </c>
      <c r="AA71" s="1"/>
      <c r="AB71" s="1"/>
      <c r="AC71" s="1">
        <v>40788.25</v>
      </c>
      <c r="AD71" s="1"/>
      <c r="AE71" s="1"/>
      <c r="AF71" s="1">
        <v>40805.25</v>
      </c>
      <c r="AG71" s="1"/>
      <c r="AH71" s="1"/>
      <c r="AI71" s="1"/>
      <c r="AJ71" s="1"/>
      <c r="AK71" s="1"/>
      <c r="AL71" s="1"/>
      <c r="AM71" s="1"/>
      <c r="AN71" s="1"/>
      <c r="AO71" s="1"/>
      <c r="AP71" s="1"/>
      <c r="AQ71" s="1"/>
      <c r="AR71" s="1">
        <v>41101.25</v>
      </c>
      <c r="AS71" s="1">
        <v>40994.25</v>
      </c>
      <c r="AT71" s="1"/>
      <c r="AU71" s="1"/>
      <c r="AV71" s="1">
        <v>41100.25</v>
      </c>
      <c r="AW71" s="1"/>
      <c r="AX71" s="1">
        <v>40987.208333333343</v>
      </c>
      <c r="AY71" s="1"/>
      <c r="AZ71" s="1">
        <v>41095.25</v>
      </c>
      <c r="BA71" s="1"/>
      <c r="BB71" s="1"/>
      <c r="BC71" s="1"/>
      <c r="BD71" s="1"/>
      <c r="BE71" s="1"/>
      <c r="BF71" s="1"/>
      <c r="BG71" s="1"/>
      <c r="BH71" s="1"/>
      <c r="BI71" s="1"/>
      <c r="BJ71" s="1"/>
      <c r="BK71" s="1"/>
      <c r="BL71" s="1"/>
      <c r="BM71" s="1">
        <v>41102.25</v>
      </c>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row>
    <row r="72" spans="1:216" x14ac:dyDescent="0.3">
      <c r="A72" s="3" t="str">
        <f>HYPERLINK("https://hpr-rps.hres.ca/reg-content/summary-basis-decision-detailOne.php?lang=en&amp;linkID=SBD00072", "INOmax ®")</f>
        <v>INOmax ®</v>
      </c>
      <c r="B72" s="1" t="s">
        <v>263</v>
      </c>
      <c r="C72" s="1" t="s">
        <v>264</v>
      </c>
      <c r="D72" s="1" t="s">
        <v>265</v>
      </c>
      <c r="E72" s="1">
        <v>37662.25</v>
      </c>
      <c r="F72" s="1"/>
      <c r="G72" s="1"/>
      <c r="H72" s="1"/>
      <c r="I72" s="1"/>
      <c r="J72" s="1"/>
      <c r="K72" s="1"/>
      <c r="L72" s="1"/>
      <c r="M72" s="1"/>
      <c r="N72" s="1">
        <v>37764.25</v>
      </c>
      <c r="O72" s="1"/>
      <c r="P72" s="1"/>
      <c r="Q72" s="1"/>
      <c r="R72" s="1"/>
      <c r="S72" s="1">
        <v>37796.25</v>
      </c>
      <c r="T72" s="1"/>
      <c r="U72" s="1"/>
      <c r="V72" s="1">
        <v>37804.25</v>
      </c>
      <c r="W72" s="1"/>
      <c r="X72" s="1">
        <v>38010.25</v>
      </c>
      <c r="Y72" s="1">
        <v>38190.25</v>
      </c>
      <c r="Z72" s="1"/>
      <c r="AA72" s="1">
        <v>38209.25</v>
      </c>
      <c r="AB72" s="1">
        <v>38287.25</v>
      </c>
      <c r="AC72" s="1">
        <v>38321.25</v>
      </c>
      <c r="AD72" s="1"/>
      <c r="AE72" s="1"/>
      <c r="AF72" s="1"/>
      <c r="AG72" s="1"/>
      <c r="AH72" s="1"/>
      <c r="AI72" s="1"/>
      <c r="AJ72" s="1"/>
      <c r="AK72" s="1"/>
      <c r="AL72" s="1"/>
      <c r="AM72" s="1"/>
      <c r="AN72" s="1"/>
      <c r="AO72" s="1"/>
      <c r="AP72" s="1"/>
      <c r="AQ72" s="1"/>
      <c r="AR72" s="1"/>
      <c r="AS72" s="1"/>
      <c r="AT72" s="1"/>
      <c r="AU72" s="1"/>
      <c r="AV72" s="1"/>
      <c r="AW72" s="1">
        <v>38330.25</v>
      </c>
      <c r="AX72" s="1"/>
      <c r="AY72" s="1"/>
      <c r="AZ72" s="1"/>
      <c r="BA72" s="1"/>
      <c r="BB72" s="1"/>
      <c r="BC72" s="1"/>
      <c r="BD72" s="1"/>
      <c r="BE72" s="1"/>
      <c r="BF72" s="1"/>
      <c r="BG72" s="1">
        <v>38513.25</v>
      </c>
      <c r="BH72" s="1"/>
      <c r="BI72" s="1">
        <v>38589.25</v>
      </c>
      <c r="BJ72" s="1"/>
      <c r="BK72" s="1"/>
      <c r="BL72" s="1"/>
      <c r="BM72" s="1"/>
      <c r="BN72" s="1"/>
      <c r="BO72" s="1"/>
      <c r="BP72" s="1"/>
      <c r="BQ72" s="1">
        <v>38589.25</v>
      </c>
      <c r="BR72" s="1"/>
      <c r="BS72" s="1"/>
      <c r="BT72" s="1"/>
      <c r="BU72" s="1"/>
      <c r="BV72" s="1"/>
      <c r="BW72" s="1"/>
      <c r="BX72" s="1"/>
      <c r="BY72" s="1"/>
      <c r="BZ72" s="1"/>
      <c r="CA72" s="1"/>
      <c r="CB72" s="1"/>
      <c r="CC72" s="1"/>
      <c r="CD72" s="1">
        <v>38618.25</v>
      </c>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row>
    <row r="73" spans="1:216" x14ac:dyDescent="0.3">
      <c r="A73" s="3" t="str">
        <f>HYPERLINK("https://hpr-rps.hres.ca/reg-content/summary-basis-decision-detailOne.php?lang=en&amp;linkID=SBD00073", "Inspra TM/MC")</f>
        <v>Inspra TM/MC</v>
      </c>
      <c r="B73" s="1" t="s">
        <v>266</v>
      </c>
      <c r="C73" s="1" t="s">
        <v>143</v>
      </c>
      <c r="D73" s="1" t="s">
        <v>267</v>
      </c>
      <c r="E73" s="1">
        <v>39219.25</v>
      </c>
      <c r="F73" s="1"/>
      <c r="G73" s="1"/>
      <c r="H73" s="1">
        <v>39510.25</v>
      </c>
      <c r="I73" s="1"/>
      <c r="J73" s="1"/>
      <c r="K73" s="1"/>
      <c r="L73" s="1"/>
      <c r="M73" s="1"/>
      <c r="N73" s="1"/>
      <c r="O73" s="1"/>
      <c r="P73" s="1"/>
      <c r="Q73" s="1"/>
      <c r="R73" s="1"/>
      <c r="S73" s="1"/>
      <c r="T73" s="1"/>
      <c r="U73" s="1"/>
      <c r="V73" s="1"/>
      <c r="W73" s="1"/>
      <c r="X73" s="1"/>
      <c r="Y73" s="1"/>
      <c r="Z73" s="1"/>
      <c r="AA73" s="1"/>
      <c r="AB73" s="1"/>
      <c r="AC73" s="1"/>
      <c r="AD73" s="1"/>
      <c r="AE73" s="1"/>
      <c r="AF73" s="1">
        <v>39570.25</v>
      </c>
      <c r="AG73" s="1"/>
      <c r="AH73" s="1"/>
      <c r="AI73" s="1"/>
      <c r="AJ73" s="1"/>
      <c r="AK73" s="1"/>
      <c r="AL73" s="1"/>
      <c r="AM73" s="1"/>
      <c r="AN73" s="1"/>
      <c r="AO73" s="1"/>
      <c r="AP73" s="1"/>
      <c r="AQ73" s="1"/>
      <c r="AR73" s="1">
        <v>39869.25</v>
      </c>
      <c r="AS73" s="1">
        <v>39868.25</v>
      </c>
      <c r="AT73" s="1"/>
      <c r="AU73" s="1"/>
      <c r="AV73" s="1">
        <v>39870.25</v>
      </c>
      <c r="AW73" s="1"/>
      <c r="AX73" s="1"/>
      <c r="AY73" s="1"/>
      <c r="AZ73" s="1">
        <v>39869.25</v>
      </c>
      <c r="BA73" s="1"/>
      <c r="BB73" s="1"/>
      <c r="BC73" s="1"/>
      <c r="BD73" s="1"/>
      <c r="BE73" s="1"/>
      <c r="BF73" s="1"/>
      <c r="BG73" s="1"/>
      <c r="BH73" s="1"/>
      <c r="BI73" s="1"/>
      <c r="BJ73" s="1"/>
      <c r="BK73" s="1"/>
      <c r="BL73" s="1"/>
      <c r="BM73" s="1">
        <v>39870.25</v>
      </c>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row>
    <row r="74" spans="1:216" x14ac:dyDescent="0.3">
      <c r="A74" s="3" t="str">
        <f>HYPERLINK("https://hpr-rps.hres.ca/reg-content/summary-basis-decision-detailOne.php?lang=en&amp;linkID=SBD00074", "Intelence")</f>
        <v>Intelence</v>
      </c>
      <c r="B74" s="1" t="s">
        <v>268</v>
      </c>
      <c r="C74" s="1" t="s">
        <v>196</v>
      </c>
      <c r="D74" s="1" t="s">
        <v>269</v>
      </c>
      <c r="E74" s="1">
        <v>39273.25</v>
      </c>
      <c r="F74" s="1"/>
      <c r="G74" s="1"/>
      <c r="H74" s="1"/>
      <c r="I74" s="1"/>
      <c r="J74" s="1"/>
      <c r="K74" s="1"/>
      <c r="L74" s="1"/>
      <c r="M74" s="1"/>
      <c r="N74" s="1">
        <v>39272.25</v>
      </c>
      <c r="O74" s="1"/>
      <c r="P74" s="1"/>
      <c r="Q74" s="1"/>
      <c r="R74" s="1"/>
      <c r="S74" s="1">
        <v>39290.25</v>
      </c>
      <c r="T74" s="1"/>
      <c r="U74" s="1"/>
      <c r="V74" s="1">
        <v>39317.25</v>
      </c>
      <c r="W74" s="1"/>
      <c r="X74" s="1"/>
      <c r="Y74" s="1"/>
      <c r="Z74" s="1"/>
      <c r="AA74" s="1"/>
      <c r="AB74" s="1"/>
      <c r="AC74" s="1"/>
      <c r="AD74" s="1"/>
      <c r="AE74" s="1"/>
      <c r="AF74" s="1">
        <v>39357.25</v>
      </c>
      <c r="AG74" s="1"/>
      <c r="AH74" s="1"/>
      <c r="AI74" s="1"/>
      <c r="AJ74" s="1"/>
      <c r="AK74" s="1"/>
      <c r="AL74" s="1"/>
      <c r="AM74" s="1"/>
      <c r="AN74" s="1"/>
      <c r="AO74" s="1"/>
      <c r="AP74" s="1"/>
      <c r="AQ74" s="1"/>
      <c r="AR74" s="1">
        <v>39526.208333333343</v>
      </c>
      <c r="AS74" s="1"/>
      <c r="AT74" s="1"/>
      <c r="AU74" s="1"/>
      <c r="AV74" s="1">
        <v>39499.25</v>
      </c>
      <c r="AW74" s="1"/>
      <c r="AX74" s="1"/>
      <c r="AY74" s="1">
        <v>39487.25</v>
      </c>
      <c r="AZ74" s="1">
        <v>39511.25</v>
      </c>
      <c r="BA74" s="1"/>
      <c r="BB74" s="1"/>
      <c r="BC74" s="1"/>
      <c r="BD74" s="1"/>
      <c r="BE74" s="1"/>
      <c r="BF74" s="1"/>
      <c r="BG74" s="1"/>
      <c r="BH74" s="1"/>
      <c r="BI74" s="1"/>
      <c r="BJ74" s="1"/>
      <c r="BK74" s="1"/>
      <c r="BL74" s="1"/>
      <c r="BM74" s="1">
        <v>39534.208333333343</v>
      </c>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row>
    <row r="75" spans="1:216" x14ac:dyDescent="0.3">
      <c r="A75" s="3" t="str">
        <f>HYPERLINK("https://hpr-rps.hres.ca/reg-content/summary-basis-decision-detailOne.php?lang=en&amp;linkID=SBD00075", "Invega")</f>
        <v>Invega</v>
      </c>
      <c r="B75" s="1" t="s">
        <v>270</v>
      </c>
      <c r="C75" s="1" t="s">
        <v>196</v>
      </c>
      <c r="D75" s="1" t="s">
        <v>271</v>
      </c>
      <c r="E75" s="1"/>
      <c r="F75" s="1"/>
      <c r="G75" s="1"/>
      <c r="H75" s="1">
        <v>38987.25</v>
      </c>
      <c r="I75" s="1"/>
      <c r="J75" s="1"/>
      <c r="K75" s="1"/>
      <c r="L75" s="1"/>
      <c r="M75" s="1"/>
      <c r="N75" s="1"/>
      <c r="O75" s="1"/>
      <c r="P75" s="1"/>
      <c r="Q75" s="1"/>
      <c r="R75" s="1"/>
      <c r="S75" s="1"/>
      <c r="T75" s="1"/>
      <c r="U75" s="1"/>
      <c r="V75" s="1"/>
      <c r="W75" s="1"/>
      <c r="X75" s="1"/>
      <c r="Y75" s="1"/>
      <c r="Z75" s="1">
        <v>39031.25</v>
      </c>
      <c r="AA75" s="1"/>
      <c r="AB75" s="1"/>
      <c r="AC75" s="1">
        <v>39035.25</v>
      </c>
      <c r="AD75" s="1"/>
      <c r="AE75" s="1"/>
      <c r="AF75" s="1">
        <v>39051.25</v>
      </c>
      <c r="AG75" s="1"/>
      <c r="AH75" s="1"/>
      <c r="AI75" s="1"/>
      <c r="AJ75" s="1"/>
      <c r="AK75" s="1"/>
      <c r="AL75" s="1"/>
      <c r="AM75" s="1"/>
      <c r="AN75" s="1"/>
      <c r="AO75" s="1"/>
      <c r="AP75" s="1"/>
      <c r="AQ75" s="1"/>
      <c r="AR75" s="1">
        <v>39351.25</v>
      </c>
      <c r="AS75" s="1">
        <v>39351.25</v>
      </c>
      <c r="AT75" s="1"/>
      <c r="AU75" s="1"/>
      <c r="AV75" s="1">
        <v>39346.25</v>
      </c>
      <c r="AW75" s="1"/>
      <c r="AX75" s="1"/>
      <c r="AY75" s="1"/>
      <c r="AZ75" s="1">
        <v>39351.25</v>
      </c>
      <c r="BA75" s="1"/>
      <c r="BB75" s="1"/>
      <c r="BC75" s="1"/>
      <c r="BD75" s="1"/>
      <c r="BE75" s="1"/>
      <c r="BF75" s="1"/>
      <c r="BG75" s="1"/>
      <c r="BH75" s="1"/>
      <c r="BI75" s="1"/>
      <c r="BJ75" s="1"/>
      <c r="BK75" s="1"/>
      <c r="BL75" s="1"/>
      <c r="BM75" s="1">
        <v>39351.25</v>
      </c>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row>
    <row r="76" spans="1:216" x14ac:dyDescent="0.3">
      <c r="A76" s="3" t="str">
        <f>HYPERLINK("https://hpr-rps.hres.ca/reg-content/summary-basis-decision-detailOne.php?lang=en&amp;linkID=SBD00076", "Invega ®")</f>
        <v>Invega ®</v>
      </c>
      <c r="B76" s="1" t="s">
        <v>272</v>
      </c>
      <c r="C76" s="1" t="s">
        <v>196</v>
      </c>
      <c r="D76" s="1" t="s">
        <v>273</v>
      </c>
      <c r="E76" s="1">
        <v>39575.25</v>
      </c>
      <c r="F76" s="1">
        <v>39722.25</v>
      </c>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v>39927.25</v>
      </c>
      <c r="AM76" s="1"/>
      <c r="AN76" s="1"/>
      <c r="AO76" s="1"/>
      <c r="AP76" s="1"/>
      <c r="AQ76" s="1"/>
      <c r="AR76" s="1">
        <v>40347.25</v>
      </c>
      <c r="AS76" s="1">
        <v>40298.25</v>
      </c>
      <c r="AT76" s="1"/>
      <c r="AU76" s="1"/>
      <c r="AV76" s="1">
        <v>40339.25</v>
      </c>
      <c r="AW76" s="1"/>
      <c r="AX76" s="1"/>
      <c r="AY76" s="1"/>
      <c r="AZ76" s="1">
        <v>40357.25</v>
      </c>
      <c r="BA76" s="1"/>
      <c r="BB76" s="1"/>
      <c r="BC76" s="1"/>
      <c r="BD76" s="1"/>
      <c r="BE76" s="1"/>
      <c r="BF76" s="1">
        <v>39975.25</v>
      </c>
      <c r="BG76" s="1"/>
      <c r="BH76" s="1"/>
      <c r="BI76" s="1"/>
      <c r="BJ76" s="1"/>
      <c r="BK76" s="1"/>
      <c r="BL76" s="1"/>
      <c r="BM76" s="1">
        <v>40359.25</v>
      </c>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row>
    <row r="77" spans="1:216" x14ac:dyDescent="0.3">
      <c r="A77" s="3" t="str">
        <f>HYPERLINK("https://hpr-rps.hres.ca/reg-content/summary-basis-decision-detailOne.php?lang=en&amp;linkID=SBD00077", "Isentress TM")</f>
        <v>Isentress TM</v>
      </c>
      <c r="B77" s="1" t="s">
        <v>274</v>
      </c>
      <c r="C77" s="1" t="s">
        <v>212</v>
      </c>
      <c r="D77" s="1" t="s">
        <v>275</v>
      </c>
      <c r="E77" s="1"/>
      <c r="F77" s="1"/>
      <c r="G77" s="1"/>
      <c r="H77" s="1"/>
      <c r="I77" s="1"/>
      <c r="J77" s="1"/>
      <c r="K77" s="1"/>
      <c r="L77" s="1"/>
      <c r="M77" s="1"/>
      <c r="N77" s="1">
        <v>39156.208333333343</v>
      </c>
      <c r="O77" s="1"/>
      <c r="P77" s="1"/>
      <c r="Q77" s="1"/>
      <c r="R77" s="1"/>
      <c r="S77" s="1">
        <v>39174.25</v>
      </c>
      <c r="T77" s="1"/>
      <c r="U77" s="1"/>
      <c r="V77" s="1">
        <v>39190.25</v>
      </c>
      <c r="W77" s="1"/>
      <c r="X77" s="1"/>
      <c r="Y77" s="1"/>
      <c r="Z77" s="1"/>
      <c r="AA77" s="1"/>
      <c r="AB77" s="1"/>
      <c r="AC77" s="1"/>
      <c r="AD77" s="1"/>
      <c r="AE77" s="1"/>
      <c r="AF77" s="1">
        <v>39216.25</v>
      </c>
      <c r="AG77" s="1"/>
      <c r="AH77" s="1"/>
      <c r="AI77" s="1"/>
      <c r="AJ77" s="1"/>
      <c r="AK77" s="1"/>
      <c r="AL77" s="1"/>
      <c r="AM77" s="1"/>
      <c r="AN77" s="1"/>
      <c r="AO77" s="1"/>
      <c r="AP77" s="1"/>
      <c r="AQ77" s="1"/>
      <c r="AR77" s="1">
        <v>39399.25</v>
      </c>
      <c r="AS77" s="1"/>
      <c r="AT77" s="1"/>
      <c r="AU77" s="1"/>
      <c r="AV77" s="1">
        <v>39393.25</v>
      </c>
      <c r="AW77" s="1"/>
      <c r="AX77" s="1"/>
      <c r="AY77" s="1"/>
      <c r="AZ77" s="1">
        <v>39392.25</v>
      </c>
      <c r="BA77" s="1"/>
      <c r="BB77" s="1"/>
      <c r="BC77" s="1"/>
      <c r="BD77" s="1"/>
      <c r="BE77" s="1"/>
      <c r="BF77" s="1"/>
      <c r="BG77" s="1"/>
      <c r="BH77" s="1"/>
      <c r="BI77" s="1"/>
      <c r="BJ77" s="1"/>
      <c r="BK77" s="1">
        <v>39395.25</v>
      </c>
      <c r="BL77" s="1">
        <v>39413.25</v>
      </c>
      <c r="BM77" s="1"/>
      <c r="BN77" s="1"/>
      <c r="BO77" s="1"/>
      <c r="BP77" s="1"/>
      <c r="BQ77" s="1"/>
      <c r="BR77" s="1"/>
      <c r="BS77" s="1"/>
      <c r="BT77" s="1"/>
      <c r="BU77" s="1"/>
      <c r="BV77" s="1"/>
      <c r="BW77" s="1"/>
      <c r="BX77" s="1"/>
      <c r="BY77" s="1">
        <v>39400.25</v>
      </c>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row>
    <row r="78" spans="1:216" x14ac:dyDescent="0.3">
      <c r="A78" s="3" t="str">
        <f>HYPERLINK("https://hpr-rps.hres.ca/reg-content/summary-basis-decision-detailOne.php?lang=en&amp;linkID=SBD00078", "Ixiaro ®")</f>
        <v>Ixiaro ®</v>
      </c>
      <c r="B78" s="1" t="s">
        <v>276</v>
      </c>
      <c r="C78" s="1" t="s">
        <v>277</v>
      </c>
      <c r="D78" s="1" t="s">
        <v>278</v>
      </c>
      <c r="E78" s="1">
        <v>39540.25</v>
      </c>
      <c r="F78" s="1"/>
      <c r="G78" s="1"/>
      <c r="H78" s="1">
        <v>39619.25</v>
      </c>
      <c r="I78" s="1"/>
      <c r="J78" s="1"/>
      <c r="K78" s="1"/>
      <c r="L78" s="1"/>
      <c r="M78" s="1"/>
      <c r="N78" s="1"/>
      <c r="O78" s="1"/>
      <c r="P78" s="1"/>
      <c r="Q78" s="1"/>
      <c r="R78" s="1"/>
      <c r="S78" s="1"/>
      <c r="T78" s="1"/>
      <c r="U78" s="1"/>
      <c r="V78" s="1"/>
      <c r="W78" s="1"/>
      <c r="X78" s="1"/>
      <c r="Y78" s="1"/>
      <c r="Z78" s="1"/>
      <c r="AA78" s="1"/>
      <c r="AB78" s="1"/>
      <c r="AC78" s="1"/>
      <c r="AD78" s="1"/>
      <c r="AE78" s="1"/>
      <c r="AF78" s="1">
        <v>39672.25</v>
      </c>
      <c r="AG78" s="1"/>
      <c r="AH78" s="1"/>
      <c r="AI78" s="1"/>
      <c r="AJ78" s="1"/>
      <c r="AK78" s="1"/>
      <c r="AL78" s="1"/>
      <c r="AM78" s="1"/>
      <c r="AN78" s="1"/>
      <c r="AO78" s="1"/>
      <c r="AP78" s="1"/>
      <c r="AQ78" s="1"/>
      <c r="AR78" s="1"/>
      <c r="AS78" s="1"/>
      <c r="AT78" s="1"/>
      <c r="AU78" s="1"/>
      <c r="AV78" s="1">
        <v>39847.25</v>
      </c>
      <c r="AW78" s="1"/>
      <c r="AX78" s="1"/>
      <c r="AY78" s="1"/>
      <c r="AZ78" s="1">
        <v>39835.25</v>
      </c>
      <c r="BA78" s="1"/>
      <c r="BB78" s="1"/>
      <c r="BC78" s="1"/>
      <c r="BD78" s="1"/>
      <c r="BE78" s="1"/>
      <c r="BF78" s="1"/>
      <c r="BG78" s="1"/>
      <c r="BH78" s="1"/>
      <c r="BI78" s="1"/>
      <c r="BJ78" s="1"/>
      <c r="BK78" s="1"/>
      <c r="BL78" s="1"/>
      <c r="BM78" s="1"/>
      <c r="BN78" s="1"/>
      <c r="BO78" s="1"/>
      <c r="BP78" s="1">
        <v>39853.25</v>
      </c>
      <c r="BQ78" s="1"/>
      <c r="BR78" s="1"/>
      <c r="BS78" s="1"/>
      <c r="BT78" s="1"/>
      <c r="BU78" s="1"/>
      <c r="BV78" s="1"/>
      <c r="BW78" s="1"/>
      <c r="BX78" s="1"/>
      <c r="BY78" s="1">
        <v>39923.25</v>
      </c>
      <c r="BZ78" s="1"/>
      <c r="CA78" s="1"/>
      <c r="CB78" s="1"/>
      <c r="CC78" s="1"/>
      <c r="CD78" s="1"/>
      <c r="CE78" s="1"/>
      <c r="CF78" s="1"/>
      <c r="CG78" s="1"/>
      <c r="CH78" s="1"/>
      <c r="CI78" s="1"/>
      <c r="CJ78" s="1"/>
      <c r="CK78" s="1"/>
      <c r="CL78" s="1"/>
      <c r="CM78" s="1"/>
      <c r="CN78" s="1"/>
      <c r="CO78" s="1"/>
      <c r="CP78" s="1"/>
      <c r="CQ78" s="1"/>
      <c r="CR78" s="1">
        <v>39947.25</v>
      </c>
      <c r="CS78" s="1"/>
      <c r="CT78" s="1"/>
      <c r="CU78" s="1"/>
      <c r="CV78" s="1"/>
      <c r="CW78" s="1"/>
      <c r="CX78" s="1"/>
      <c r="CY78" s="1"/>
      <c r="CZ78" s="1"/>
      <c r="DA78" s="1">
        <v>40046.25</v>
      </c>
      <c r="DB78" s="1"/>
      <c r="DC78" s="1"/>
      <c r="DD78" s="1">
        <v>40077.25</v>
      </c>
      <c r="DE78" s="1"/>
      <c r="DF78" s="1"/>
      <c r="DG78" s="1"/>
      <c r="DH78" s="1">
        <v>40115.208333333343</v>
      </c>
      <c r="DI78" s="1"/>
      <c r="DJ78" s="1"/>
      <c r="DK78" s="1"/>
      <c r="DL78" s="1">
        <v>40077.25</v>
      </c>
      <c r="DM78" s="1"/>
      <c r="DN78" s="1"/>
      <c r="DO78" s="1"/>
      <c r="DP78" s="1"/>
      <c r="DQ78" s="1"/>
      <c r="DR78" s="1"/>
      <c r="DS78" s="1"/>
      <c r="DT78" s="1"/>
      <c r="DU78" s="1"/>
      <c r="DV78" s="1"/>
      <c r="DW78" s="1"/>
      <c r="DX78" s="1"/>
      <c r="DY78" s="1">
        <v>40115.208333333343</v>
      </c>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row>
    <row r="79" spans="1:216" x14ac:dyDescent="0.3">
      <c r="A79" s="3" t="str">
        <f>HYPERLINK("https://hpr-rps.hres.ca/reg-content/summary-basis-decision-detailOne.php?lang=en&amp;linkID=SBD00079", "Jakavi")</f>
        <v>Jakavi</v>
      </c>
      <c r="B79" s="1" t="s">
        <v>279</v>
      </c>
      <c r="C79" s="1" t="s">
        <v>87</v>
      </c>
      <c r="D79" s="1" t="s">
        <v>280</v>
      </c>
      <c r="E79" s="1">
        <v>40738.25</v>
      </c>
      <c r="F79" s="1"/>
      <c r="G79" s="1"/>
      <c r="H79" s="1"/>
      <c r="I79" s="1"/>
      <c r="J79" s="1"/>
      <c r="K79" s="1"/>
      <c r="L79" s="1"/>
      <c r="M79" s="1"/>
      <c r="N79" s="1">
        <v>40766.25</v>
      </c>
      <c r="O79" s="1"/>
      <c r="P79" s="1"/>
      <c r="Q79" s="1"/>
      <c r="R79" s="1"/>
      <c r="S79" s="1">
        <v>40815.25</v>
      </c>
      <c r="T79" s="1"/>
      <c r="U79" s="1"/>
      <c r="V79" s="1">
        <v>40876.25</v>
      </c>
      <c r="W79" s="1"/>
      <c r="X79" s="1"/>
      <c r="Y79" s="1"/>
      <c r="Z79" s="1"/>
      <c r="AA79" s="1"/>
      <c r="AB79" s="1"/>
      <c r="AC79" s="1"/>
      <c r="AD79" s="1"/>
      <c r="AE79" s="1"/>
      <c r="AF79" s="1">
        <v>40899.25</v>
      </c>
      <c r="AG79" s="1"/>
      <c r="AH79" s="1"/>
      <c r="AI79" s="1">
        <v>41075.25</v>
      </c>
      <c r="AJ79" s="1"/>
      <c r="AK79" s="1"/>
      <c r="AL79" s="1"/>
      <c r="AM79" s="1">
        <v>41079.25</v>
      </c>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row>
    <row r="80" spans="1:216" x14ac:dyDescent="0.3">
      <c r="A80" s="3" t="str">
        <f>HYPERLINK("https://hpr-rps.hres.ca/reg-content/summary-basis-decision-detailOne.php?lang=en&amp;linkID=SBD00080", "Januvia TM")</f>
        <v>Januvia TM</v>
      </c>
      <c r="B80" s="1" t="s">
        <v>281</v>
      </c>
      <c r="C80" s="1" t="s">
        <v>212</v>
      </c>
      <c r="D80" s="1" t="s">
        <v>282</v>
      </c>
      <c r="E80" s="1">
        <v>38729.25</v>
      </c>
      <c r="F80" s="1"/>
      <c r="G80" s="1"/>
      <c r="H80" s="1">
        <v>38737.25</v>
      </c>
      <c r="I80" s="1"/>
      <c r="J80" s="1"/>
      <c r="K80" s="1"/>
      <c r="L80" s="1"/>
      <c r="M80" s="1"/>
      <c r="N80" s="1"/>
      <c r="O80" s="1"/>
      <c r="P80" s="1"/>
      <c r="Q80" s="1"/>
      <c r="R80" s="1"/>
      <c r="S80" s="1"/>
      <c r="T80" s="1"/>
      <c r="U80" s="1"/>
      <c r="V80" s="1"/>
      <c r="W80" s="1"/>
      <c r="X80" s="1"/>
      <c r="Y80" s="1"/>
      <c r="Z80" s="1">
        <v>38785.25</v>
      </c>
      <c r="AA80" s="1"/>
      <c r="AB80" s="1"/>
      <c r="AC80" s="1">
        <v>38803.291666666657</v>
      </c>
      <c r="AD80" s="1"/>
      <c r="AE80" s="1"/>
      <c r="AF80" s="1">
        <v>38852.25</v>
      </c>
      <c r="AG80" s="1"/>
      <c r="AH80" s="1"/>
      <c r="AI80" s="1"/>
      <c r="AJ80" s="1"/>
      <c r="AK80" s="1"/>
      <c r="AL80" s="1"/>
      <c r="AM80" s="1"/>
      <c r="AN80" s="1"/>
      <c r="AO80" s="1"/>
      <c r="AP80" s="1"/>
      <c r="AQ80" s="1"/>
      <c r="AR80" s="1"/>
      <c r="AS80" s="1">
        <v>39065.25</v>
      </c>
      <c r="AT80" s="1"/>
      <c r="AU80" s="1"/>
      <c r="AV80" s="1">
        <v>39148.25</v>
      </c>
      <c r="AW80" s="1"/>
      <c r="AX80" s="1">
        <v>39127.25</v>
      </c>
      <c r="AY80" s="1"/>
      <c r="AZ80" s="1">
        <v>39149.25</v>
      </c>
      <c r="BA80" s="1"/>
      <c r="BB80" s="1"/>
      <c r="BC80" s="1"/>
      <c r="BD80" s="1"/>
      <c r="BE80" s="1"/>
      <c r="BF80" s="1"/>
      <c r="BG80" s="1"/>
      <c r="BH80" s="1"/>
      <c r="BI80" s="1"/>
      <c r="BJ80" s="1"/>
      <c r="BK80" s="1"/>
      <c r="BL80" s="1"/>
      <c r="BM80" s="1"/>
      <c r="BN80" s="1"/>
      <c r="BO80" s="1"/>
      <c r="BP80" s="1"/>
      <c r="BQ80" s="1"/>
      <c r="BR80" s="1"/>
      <c r="BS80" s="1"/>
      <c r="BT80" s="1">
        <v>39150.25</v>
      </c>
      <c r="BU80" s="1"/>
      <c r="BV80" s="1"/>
      <c r="BW80" s="1"/>
      <c r="BX80" s="1"/>
      <c r="BY80" s="1">
        <v>39240.25</v>
      </c>
      <c r="BZ80" s="1"/>
      <c r="CA80" s="1"/>
      <c r="CB80" s="1"/>
      <c r="CC80" s="1"/>
      <c r="CD80" s="1"/>
      <c r="CE80" s="1"/>
      <c r="CF80" s="1"/>
      <c r="CG80" s="1"/>
      <c r="CH80" s="1"/>
      <c r="CI80" s="1"/>
      <c r="CJ80" s="1"/>
      <c r="CK80" s="1"/>
      <c r="CL80" s="1"/>
      <c r="CM80" s="1"/>
      <c r="CN80" s="1"/>
      <c r="CO80" s="1"/>
      <c r="CP80" s="1"/>
      <c r="CQ80" s="1"/>
      <c r="CR80" s="1">
        <v>39282.25</v>
      </c>
      <c r="CS80" s="1"/>
      <c r="CT80" s="1"/>
      <c r="CU80" s="1"/>
      <c r="CV80" s="1"/>
      <c r="CW80" s="1"/>
      <c r="CX80" s="1"/>
      <c r="CY80" s="1"/>
      <c r="CZ80" s="1"/>
      <c r="DA80" s="1"/>
      <c r="DB80" s="1"/>
      <c r="DC80" s="1"/>
      <c r="DD80" s="1">
        <v>39430.25</v>
      </c>
      <c r="DE80" s="1"/>
      <c r="DF80" s="1"/>
      <c r="DG80" s="1"/>
      <c r="DH80" s="1">
        <v>39413.25</v>
      </c>
      <c r="DI80" s="1"/>
      <c r="DJ80" s="1">
        <v>39335.25</v>
      </c>
      <c r="DK80" s="1"/>
      <c r="DL80" s="1">
        <v>39429.25</v>
      </c>
      <c r="DM80" s="1"/>
      <c r="DN80" s="1"/>
      <c r="DO80" s="1"/>
      <c r="DP80" s="1"/>
      <c r="DQ80" s="1"/>
      <c r="DR80" s="1"/>
      <c r="DS80" s="1"/>
      <c r="DT80" s="1"/>
      <c r="DU80" s="1"/>
      <c r="DV80" s="1"/>
      <c r="DW80" s="1"/>
      <c r="DX80" s="1"/>
      <c r="DY80" s="1">
        <v>39430.25</v>
      </c>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row>
    <row r="81" spans="1:216" x14ac:dyDescent="0.3">
      <c r="A81" s="3" t="str">
        <f>HYPERLINK("https://hpr-rps.hres.ca/reg-content/summary-basis-decision-detailOne.php?lang=en&amp;linkID=SBD00081", "Jevtana TM")</f>
        <v>Jevtana TM</v>
      </c>
      <c r="B81" s="1" t="s">
        <v>283</v>
      </c>
      <c r="C81" s="1" t="s">
        <v>102</v>
      </c>
      <c r="D81" s="1" t="s">
        <v>284</v>
      </c>
      <c r="E81" s="1">
        <v>40311.25</v>
      </c>
      <c r="F81" s="1"/>
      <c r="G81" s="1"/>
      <c r="H81" s="1"/>
      <c r="I81" s="1"/>
      <c r="J81" s="1"/>
      <c r="K81" s="1"/>
      <c r="L81" s="1"/>
      <c r="M81" s="1"/>
      <c r="N81" s="1">
        <v>40323.25</v>
      </c>
      <c r="O81" s="1"/>
      <c r="P81" s="1"/>
      <c r="Q81" s="1"/>
      <c r="R81" s="1"/>
      <c r="S81" s="1"/>
      <c r="T81" s="1">
        <v>40359.25</v>
      </c>
      <c r="U81" s="1"/>
      <c r="V81" s="1">
        <v>40361.25</v>
      </c>
      <c r="W81" s="1"/>
      <c r="X81" s="1"/>
      <c r="Y81" s="1"/>
      <c r="Z81" s="1"/>
      <c r="AA81" s="1"/>
      <c r="AB81" s="1"/>
      <c r="AC81" s="1"/>
      <c r="AD81" s="1"/>
      <c r="AE81" s="1"/>
      <c r="AF81" s="1">
        <v>40410.25</v>
      </c>
      <c r="AG81" s="1"/>
      <c r="AH81" s="1"/>
      <c r="AI81" s="1"/>
      <c r="AJ81" s="1"/>
      <c r="AK81" s="1"/>
      <c r="AL81" s="1"/>
      <c r="AM81" s="1"/>
      <c r="AN81" s="1"/>
      <c r="AO81" s="1"/>
      <c r="AP81" s="1"/>
      <c r="AQ81" s="1"/>
      <c r="AR81" s="1">
        <v>40708.25</v>
      </c>
      <c r="AS81" s="1"/>
      <c r="AT81" s="1"/>
      <c r="AU81" s="1"/>
      <c r="AV81" s="1">
        <v>40709.25</v>
      </c>
      <c r="AW81" s="1"/>
      <c r="AX81" s="1">
        <v>40560.25</v>
      </c>
      <c r="AY81" s="1"/>
      <c r="AZ81" s="1">
        <v>40710.25</v>
      </c>
      <c r="BA81" s="1"/>
      <c r="BB81" s="1"/>
      <c r="BC81" s="1"/>
      <c r="BD81" s="1"/>
      <c r="BE81" s="1"/>
      <c r="BF81" s="1"/>
      <c r="BG81" s="1"/>
      <c r="BH81" s="1"/>
      <c r="BI81" s="1"/>
      <c r="BJ81" s="1"/>
      <c r="BK81" s="1"/>
      <c r="BL81" s="1"/>
      <c r="BM81" s="1">
        <v>40710.25</v>
      </c>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row>
    <row r="82" spans="1:216" x14ac:dyDescent="0.3">
      <c r="A82" s="3" t="str">
        <f>HYPERLINK("https://hpr-rps.hres.ca/reg-content/summary-basis-decision-detailOne.php?lang=en&amp;linkID=SBD00082", "Kepivance ®")</f>
        <v>Kepivance ®</v>
      </c>
      <c r="B82" s="1" t="s">
        <v>285</v>
      </c>
      <c r="C82" s="1" t="s">
        <v>286</v>
      </c>
      <c r="D82" s="1" t="s">
        <v>287</v>
      </c>
      <c r="E82" s="1">
        <v>38167.25</v>
      </c>
      <c r="F82" s="1"/>
      <c r="G82" s="1"/>
      <c r="H82" s="1"/>
      <c r="I82" s="1"/>
      <c r="J82" s="1"/>
      <c r="K82" s="1"/>
      <c r="L82" s="1"/>
      <c r="M82" s="1"/>
      <c r="N82" s="1">
        <v>38152.25</v>
      </c>
      <c r="O82" s="1"/>
      <c r="P82" s="1"/>
      <c r="Q82" s="1"/>
      <c r="R82" s="1"/>
      <c r="S82" s="1">
        <v>38175.25</v>
      </c>
      <c r="T82" s="1"/>
      <c r="U82" s="1"/>
      <c r="V82" s="1">
        <v>38187.25</v>
      </c>
      <c r="W82" s="1"/>
      <c r="X82" s="1"/>
      <c r="Y82" s="1"/>
      <c r="Z82" s="1"/>
      <c r="AA82" s="1"/>
      <c r="AB82" s="1"/>
      <c r="AC82" s="1"/>
      <c r="AD82" s="1"/>
      <c r="AE82" s="1"/>
      <c r="AF82" s="1">
        <v>38212.25</v>
      </c>
      <c r="AG82" s="1"/>
      <c r="AH82" s="1"/>
      <c r="AI82" s="1"/>
      <c r="AJ82" s="1"/>
      <c r="AK82" s="1"/>
      <c r="AL82" s="1"/>
      <c r="AM82" s="1"/>
      <c r="AN82" s="1"/>
      <c r="AO82" s="1">
        <v>38251.25</v>
      </c>
      <c r="AP82" s="1"/>
      <c r="AQ82" s="1"/>
      <c r="AR82" s="1">
        <v>38680.25</v>
      </c>
      <c r="AS82" s="1"/>
      <c r="AT82" s="1"/>
      <c r="AU82" s="1"/>
      <c r="AV82" s="1">
        <v>38638.25</v>
      </c>
      <c r="AW82" s="1"/>
      <c r="AX82" s="1"/>
      <c r="AY82" s="1"/>
      <c r="AZ82" s="1">
        <v>38686.25</v>
      </c>
      <c r="BA82" s="1"/>
      <c r="BB82" s="1"/>
      <c r="BC82" s="1"/>
      <c r="BD82" s="1"/>
      <c r="BE82" s="1"/>
      <c r="BF82" s="1"/>
      <c r="BG82" s="1"/>
      <c r="BH82" s="1"/>
      <c r="BI82" s="1"/>
      <c r="BJ82" s="1"/>
      <c r="BK82" s="1"/>
      <c r="BL82" s="1"/>
      <c r="BM82" s="1">
        <v>38695.25</v>
      </c>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row>
    <row r="83" spans="1:216" x14ac:dyDescent="0.3">
      <c r="A83" s="3" t="str">
        <f>HYPERLINK("https://hpr-rps.hres.ca/reg-content/summary-basis-decision-detailOne.php?lang=en&amp;linkID=SBD00083", "Kuvan TM")</f>
        <v>Kuvan TM</v>
      </c>
      <c r="B83" s="1" t="s">
        <v>288</v>
      </c>
      <c r="C83" s="1" t="s">
        <v>289</v>
      </c>
      <c r="D83" s="1" t="s">
        <v>290</v>
      </c>
      <c r="E83" s="1">
        <v>40029.25</v>
      </c>
      <c r="F83" s="1"/>
      <c r="G83" s="1"/>
      <c r="H83" s="1"/>
      <c r="I83" s="1"/>
      <c r="J83" s="1"/>
      <c r="K83" s="1"/>
      <c r="L83" s="1"/>
      <c r="M83" s="1"/>
      <c r="N83" s="1">
        <v>39939.25</v>
      </c>
      <c r="O83" s="1"/>
      <c r="P83" s="1"/>
      <c r="Q83" s="1"/>
      <c r="R83" s="1"/>
      <c r="S83" s="1">
        <v>39994.25</v>
      </c>
      <c r="T83" s="1"/>
      <c r="U83" s="1"/>
      <c r="V83" s="1">
        <v>40024.25</v>
      </c>
      <c r="W83" s="1"/>
      <c r="X83" s="1"/>
      <c r="Y83" s="1"/>
      <c r="Z83" s="1">
        <v>40053.25</v>
      </c>
      <c r="AA83" s="1"/>
      <c r="AB83" s="1"/>
      <c r="AC83" s="1">
        <v>40094.25</v>
      </c>
      <c r="AD83" s="1"/>
      <c r="AE83" s="1"/>
      <c r="AF83" s="1">
        <v>40119.25</v>
      </c>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row>
    <row r="84" spans="1:216" x14ac:dyDescent="0.3">
      <c r="A84" s="3" t="str">
        <f>HYPERLINK("https://hpr-rps.hres.ca/reg-content/summary-basis-decision-detailOne.php?lang=en&amp;linkID=SBD00084", "Latuda TM")</f>
        <v>Latuda TM</v>
      </c>
      <c r="B84" s="1" t="s">
        <v>291</v>
      </c>
      <c r="C84" s="1" t="s">
        <v>292</v>
      </c>
      <c r="D84" s="1" t="s">
        <v>293</v>
      </c>
      <c r="E84" s="1"/>
      <c r="F84" s="1"/>
      <c r="G84" s="1"/>
      <c r="H84" s="1">
        <v>41090.25</v>
      </c>
      <c r="I84" s="1"/>
      <c r="J84" s="1"/>
      <c r="K84" s="1"/>
      <c r="L84" s="1"/>
      <c r="M84" s="1"/>
      <c r="N84" s="1"/>
      <c r="O84" s="1"/>
      <c r="P84" s="1"/>
      <c r="Q84" s="1"/>
      <c r="R84" s="1"/>
      <c r="S84" s="1"/>
      <c r="T84" s="1"/>
      <c r="U84" s="1"/>
      <c r="V84" s="1"/>
      <c r="W84" s="1"/>
      <c r="X84" s="1"/>
      <c r="Y84" s="1"/>
      <c r="Z84" s="1"/>
      <c r="AA84" s="1"/>
      <c r="AB84" s="1"/>
      <c r="AC84" s="1"/>
      <c r="AD84" s="1"/>
      <c r="AE84" s="1"/>
      <c r="AF84" s="1">
        <v>40774.25</v>
      </c>
      <c r="AG84" s="1"/>
      <c r="AH84" s="1"/>
      <c r="AI84" s="1"/>
      <c r="AJ84" s="1"/>
      <c r="AK84" s="1"/>
      <c r="AL84" s="1"/>
      <c r="AM84" s="1"/>
      <c r="AN84" s="1"/>
      <c r="AO84" s="1"/>
      <c r="AP84" s="1"/>
      <c r="AQ84" s="1"/>
      <c r="AR84" s="1">
        <v>41072.25</v>
      </c>
      <c r="AS84" s="1">
        <v>41040.25</v>
      </c>
      <c r="AT84" s="1"/>
      <c r="AU84" s="1"/>
      <c r="AV84" s="1">
        <v>41060.25</v>
      </c>
      <c r="AW84" s="1"/>
      <c r="AX84" s="1"/>
      <c r="AY84" s="1"/>
      <c r="AZ84" s="1">
        <v>41072.25</v>
      </c>
      <c r="BA84" s="1"/>
      <c r="BB84" s="1"/>
      <c r="BC84" s="1"/>
      <c r="BD84" s="1"/>
      <c r="BE84" s="1"/>
      <c r="BF84" s="1"/>
      <c r="BG84" s="1"/>
      <c r="BH84" s="1"/>
      <c r="BI84" s="1"/>
      <c r="BJ84" s="1"/>
      <c r="BK84" s="1"/>
      <c r="BL84" s="1"/>
      <c r="BM84" s="1">
        <v>41073.25</v>
      </c>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row>
    <row r="85" spans="1:216" x14ac:dyDescent="0.3">
      <c r="A85" s="3" t="str">
        <f>HYPERLINK("https://hpr-rps.hres.ca/reg-content/summary-basis-decision-detailOne.php?lang=en&amp;linkID=SBD00085", "Leukoscan ®")</f>
        <v>Leukoscan ®</v>
      </c>
      <c r="B85" s="1" t="s">
        <v>294</v>
      </c>
      <c r="C85" s="1" t="s">
        <v>295</v>
      </c>
      <c r="D85" s="1" t="s">
        <v>296</v>
      </c>
      <c r="E85" s="1">
        <v>35838.25</v>
      </c>
      <c r="F85" s="1"/>
      <c r="G85" s="1"/>
      <c r="H85" s="1"/>
      <c r="I85" s="1"/>
      <c r="J85" s="1"/>
      <c r="K85" s="1"/>
      <c r="L85" s="1"/>
      <c r="M85" s="1"/>
      <c r="N85" s="1">
        <v>35850.25</v>
      </c>
      <c r="O85" s="1"/>
      <c r="P85" s="1"/>
      <c r="Q85" s="1"/>
      <c r="R85" s="1"/>
      <c r="S85" s="1"/>
      <c r="T85" s="1">
        <v>35867.25</v>
      </c>
      <c r="U85" s="1"/>
      <c r="V85" s="1">
        <v>35879.25</v>
      </c>
      <c r="W85" s="1"/>
      <c r="X85" s="1"/>
      <c r="Y85" s="1"/>
      <c r="Z85" s="1">
        <v>35920.25</v>
      </c>
      <c r="AA85" s="1"/>
      <c r="AB85" s="1"/>
      <c r="AC85" s="1">
        <v>35927.25</v>
      </c>
      <c r="AD85" s="1"/>
      <c r="AE85" s="1"/>
      <c r="AF85" s="1">
        <v>35961.25</v>
      </c>
      <c r="AG85" s="1"/>
      <c r="AH85" s="1"/>
      <c r="AI85" s="1"/>
      <c r="AJ85" s="1"/>
      <c r="AK85" s="1"/>
      <c r="AL85" s="1"/>
      <c r="AM85" s="1"/>
      <c r="AN85" s="1"/>
      <c r="AO85" s="1">
        <v>36313.25</v>
      </c>
      <c r="AP85" s="1"/>
      <c r="AQ85" s="1"/>
      <c r="AR85" s="1"/>
      <c r="AS85" s="1"/>
      <c r="AT85" s="1"/>
      <c r="AU85" s="1"/>
      <c r="AV85" s="1">
        <v>36635.25</v>
      </c>
      <c r="AW85" s="1"/>
      <c r="AX85" s="1"/>
      <c r="AY85" s="1"/>
      <c r="AZ85" s="1">
        <v>36466.25</v>
      </c>
      <c r="BA85" s="1">
        <v>36245.25</v>
      </c>
      <c r="BB85" s="1"/>
      <c r="BC85" s="1"/>
      <c r="BD85" s="1"/>
      <c r="BE85" s="1"/>
      <c r="BF85" s="1"/>
      <c r="BG85" s="1"/>
      <c r="BH85" s="1"/>
      <c r="BI85" s="1"/>
      <c r="BJ85" s="1"/>
      <c r="BK85" s="1"/>
      <c r="BL85" s="1"/>
      <c r="BM85" s="1"/>
      <c r="BN85" s="1"/>
      <c r="BO85" s="1"/>
      <c r="BP85" s="1"/>
      <c r="BQ85" s="1"/>
      <c r="BR85" s="1"/>
      <c r="BS85" s="1"/>
      <c r="BT85" s="1">
        <v>36837.25</v>
      </c>
      <c r="BU85" s="1"/>
      <c r="BV85" s="1"/>
      <c r="BW85" s="1"/>
      <c r="BX85" s="1"/>
      <c r="BY85" s="1">
        <v>36924.25</v>
      </c>
      <c r="BZ85" s="1"/>
      <c r="CA85" s="1"/>
      <c r="CB85" s="1"/>
      <c r="CC85" s="1"/>
      <c r="CD85" s="1"/>
      <c r="CE85" s="1"/>
      <c r="CF85" s="1"/>
      <c r="CG85" s="1"/>
      <c r="CH85" s="1"/>
      <c r="CI85" s="1"/>
      <c r="CJ85" s="1"/>
      <c r="CK85" s="1"/>
      <c r="CL85" s="1"/>
      <c r="CM85" s="1"/>
      <c r="CN85" s="1"/>
      <c r="CO85" s="1"/>
      <c r="CP85" s="1"/>
      <c r="CQ85" s="1"/>
      <c r="CR85" s="1">
        <v>36963.25</v>
      </c>
      <c r="CS85" s="1"/>
      <c r="CT85" s="1"/>
      <c r="CU85" s="1"/>
      <c r="CV85" s="1"/>
      <c r="CW85" s="1"/>
      <c r="CX85" s="1"/>
      <c r="CY85" s="1"/>
      <c r="CZ85" s="1"/>
      <c r="DA85" s="1"/>
      <c r="DB85" s="1"/>
      <c r="DC85" s="1"/>
      <c r="DD85" s="1"/>
      <c r="DE85" s="1"/>
      <c r="DF85" s="1"/>
      <c r="DG85" s="1"/>
      <c r="DH85" s="1">
        <v>37645.25</v>
      </c>
      <c r="DI85" s="1"/>
      <c r="DJ85" s="1"/>
      <c r="DK85" s="1"/>
      <c r="DL85" s="1">
        <v>37634.25</v>
      </c>
      <c r="DM85" s="1">
        <v>37242.25</v>
      </c>
      <c r="DN85" s="1"/>
      <c r="DO85" s="1"/>
      <c r="DP85" s="1"/>
      <c r="DQ85" s="1"/>
      <c r="DR85" s="1"/>
      <c r="DS85" s="1"/>
      <c r="DT85" s="1"/>
      <c r="DU85" s="1"/>
      <c r="DV85" s="1"/>
      <c r="DW85" s="1"/>
      <c r="DX85" s="1"/>
      <c r="DY85" s="1"/>
      <c r="DZ85" s="1"/>
      <c r="EA85" s="1"/>
      <c r="EB85" s="1"/>
      <c r="EC85" s="1"/>
      <c r="ED85" s="1"/>
      <c r="EE85" s="1">
        <v>37655.25</v>
      </c>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row>
    <row r="86" spans="1:216" x14ac:dyDescent="0.3">
      <c r="A86" s="3" t="str">
        <f>HYPERLINK("https://hpr-rps.hres.ca/reg-content/summary-basis-decision-detailOne.php?lang=en&amp;linkID=SBD00086", "Levemir ®")</f>
        <v>Levemir ®</v>
      </c>
      <c r="B86" s="1" t="s">
        <v>297</v>
      </c>
      <c r="C86" s="1" t="s">
        <v>298</v>
      </c>
      <c r="D86" s="1" t="s">
        <v>299</v>
      </c>
      <c r="E86" s="1"/>
      <c r="F86" s="1"/>
      <c r="G86" s="1"/>
      <c r="H86" s="1">
        <v>37603.25</v>
      </c>
      <c r="I86" s="1"/>
      <c r="J86" s="1"/>
      <c r="K86" s="1"/>
      <c r="L86" s="1"/>
      <c r="M86" s="1"/>
      <c r="N86" s="1"/>
      <c r="O86" s="1"/>
      <c r="P86" s="1"/>
      <c r="Q86" s="1"/>
      <c r="R86" s="1"/>
      <c r="S86" s="1"/>
      <c r="T86" s="1"/>
      <c r="U86" s="1"/>
      <c r="V86" s="1"/>
      <c r="W86" s="1"/>
      <c r="X86" s="1"/>
      <c r="Y86" s="1"/>
      <c r="Z86" s="1">
        <v>37648.25</v>
      </c>
      <c r="AA86" s="1"/>
      <c r="AB86" s="1"/>
      <c r="AC86" s="1">
        <v>37690.25</v>
      </c>
      <c r="AD86" s="1"/>
      <c r="AE86" s="1"/>
      <c r="AF86" s="1">
        <v>37714.291666666657</v>
      </c>
      <c r="AG86" s="1"/>
      <c r="AH86" s="1"/>
      <c r="AI86" s="1"/>
      <c r="AJ86" s="1"/>
      <c r="AK86" s="1"/>
      <c r="AL86" s="1"/>
      <c r="AM86" s="1"/>
      <c r="AN86" s="1"/>
      <c r="AO86" s="1"/>
      <c r="AP86" s="1"/>
      <c r="AQ86" s="1"/>
      <c r="AR86" s="1">
        <v>38618.25</v>
      </c>
      <c r="AS86" s="1"/>
      <c r="AT86" s="1"/>
      <c r="AU86" s="1"/>
      <c r="AV86" s="1">
        <v>38561.25</v>
      </c>
      <c r="AW86" s="1"/>
      <c r="AX86" s="1"/>
      <c r="AY86" s="1"/>
      <c r="AZ86" s="1">
        <v>38611.25</v>
      </c>
      <c r="BA86" s="1"/>
      <c r="BB86" s="1"/>
      <c r="BC86" s="1"/>
      <c r="BD86" s="1"/>
      <c r="BE86" s="1"/>
      <c r="BF86" s="1"/>
      <c r="BG86" s="1"/>
      <c r="BH86" s="1"/>
      <c r="BI86" s="1"/>
      <c r="BJ86" s="1"/>
      <c r="BK86" s="1"/>
      <c r="BL86" s="1"/>
      <c r="BM86" s="1">
        <v>38624.25</v>
      </c>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row>
    <row r="87" spans="1:216" x14ac:dyDescent="0.3">
      <c r="A87" s="3" t="str">
        <f>HYPERLINK("https://hpr-rps.hres.ca/reg-content/summary-basis-decision-detailOne.php?lang=en&amp;linkID=SBD00087", "Lucentis")</f>
        <v>Lucentis</v>
      </c>
      <c r="B87" s="1" t="s">
        <v>300</v>
      </c>
      <c r="C87" s="1" t="s">
        <v>301</v>
      </c>
      <c r="D87" s="1" t="s">
        <v>302</v>
      </c>
      <c r="E87" s="1">
        <v>38975.25</v>
      </c>
      <c r="F87" s="1"/>
      <c r="G87" s="1"/>
      <c r="H87" s="1"/>
      <c r="I87" s="1"/>
      <c r="J87" s="1"/>
      <c r="K87" s="1"/>
      <c r="L87" s="1"/>
      <c r="M87" s="1"/>
      <c r="N87" s="1">
        <v>38989.25</v>
      </c>
      <c r="O87" s="1"/>
      <c r="P87" s="1"/>
      <c r="Q87" s="1"/>
      <c r="R87" s="1"/>
      <c r="S87" s="1">
        <v>39013.25</v>
      </c>
      <c r="T87" s="1"/>
      <c r="U87" s="1"/>
      <c r="V87" s="1">
        <v>39056.25</v>
      </c>
      <c r="W87" s="1"/>
      <c r="X87" s="1"/>
      <c r="Y87" s="1"/>
      <c r="Z87" s="1"/>
      <c r="AA87" s="1"/>
      <c r="AB87" s="1"/>
      <c r="AC87" s="1"/>
      <c r="AD87" s="1"/>
      <c r="AE87" s="1"/>
      <c r="AF87" s="1">
        <v>39080.25</v>
      </c>
      <c r="AG87" s="1"/>
      <c r="AH87" s="1"/>
      <c r="AI87" s="1"/>
      <c r="AJ87" s="1"/>
      <c r="AK87" s="1"/>
      <c r="AL87" s="1"/>
      <c r="AM87" s="1"/>
      <c r="AN87" s="1"/>
      <c r="AO87" s="1"/>
      <c r="AP87" s="1"/>
      <c r="AQ87" s="1"/>
      <c r="AR87" s="1">
        <v>39239.25</v>
      </c>
      <c r="AS87" s="1">
        <v>39253.25</v>
      </c>
      <c r="AT87" s="1"/>
      <c r="AU87" s="1"/>
      <c r="AV87" s="1">
        <v>39255.25</v>
      </c>
      <c r="AW87" s="1"/>
      <c r="AX87" s="1">
        <v>39253.25</v>
      </c>
      <c r="AY87" s="1"/>
      <c r="AZ87" s="1">
        <v>39253.25</v>
      </c>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row>
    <row r="88" spans="1:216" x14ac:dyDescent="0.3">
      <c r="A88" s="3" t="str">
        <f>HYPERLINK("https://hpr-rps.hres.ca/reg-content/summary-basis-decision-detailOne.php?lang=en&amp;linkID=SBD00088", "Luveris ®")</f>
        <v>Luveris ®</v>
      </c>
      <c r="B88" s="1" t="s">
        <v>303</v>
      </c>
      <c r="C88" s="1" t="s">
        <v>304</v>
      </c>
      <c r="D88" s="1" t="s">
        <v>305</v>
      </c>
      <c r="E88" s="1"/>
      <c r="F88" s="1"/>
      <c r="G88" s="1"/>
      <c r="H88" s="1"/>
      <c r="I88" s="1"/>
      <c r="J88" s="1"/>
      <c r="K88" s="1"/>
      <c r="L88" s="1"/>
      <c r="M88" s="1"/>
      <c r="N88" s="1">
        <v>36550.25</v>
      </c>
      <c r="O88" s="1"/>
      <c r="P88" s="1"/>
      <c r="Q88" s="1"/>
      <c r="R88" s="1"/>
      <c r="S88" s="1"/>
      <c r="T88" s="1">
        <v>36578.25</v>
      </c>
      <c r="U88" s="1"/>
      <c r="V88" s="1">
        <v>36598.25</v>
      </c>
      <c r="W88" s="1"/>
      <c r="X88" s="1"/>
      <c r="Y88" s="1"/>
      <c r="Z88" s="1"/>
      <c r="AA88" s="1"/>
      <c r="AB88" s="1"/>
      <c r="AC88" s="1">
        <v>37033.25</v>
      </c>
      <c r="AD88" s="1">
        <v>36943.25</v>
      </c>
      <c r="AE88" s="1"/>
      <c r="AF88" s="1">
        <v>36643.25</v>
      </c>
      <c r="AG88" s="1"/>
      <c r="AH88" s="1"/>
      <c r="AI88" s="1"/>
      <c r="AJ88" s="1"/>
      <c r="AK88" s="1"/>
      <c r="AL88" s="1"/>
      <c r="AM88" s="1"/>
      <c r="AN88" s="1"/>
      <c r="AO88" s="1">
        <v>37536.25</v>
      </c>
      <c r="AP88" s="1"/>
      <c r="AQ88" s="1"/>
      <c r="AR88" s="1"/>
      <c r="AS88" s="1"/>
      <c r="AT88" s="1"/>
      <c r="AU88" s="1"/>
      <c r="AV88" s="1">
        <v>37705.25</v>
      </c>
      <c r="AW88" s="1"/>
      <c r="AX88" s="1"/>
      <c r="AY88" s="1"/>
      <c r="AZ88" s="1">
        <v>37637.25</v>
      </c>
      <c r="BA88" s="1">
        <v>36245.25</v>
      </c>
      <c r="BB88" s="1"/>
      <c r="BC88" s="1"/>
      <c r="BD88" s="1"/>
      <c r="BE88" s="1"/>
      <c r="BF88" s="1"/>
      <c r="BG88" s="1"/>
      <c r="BH88" s="1"/>
      <c r="BI88" s="1"/>
      <c r="BJ88" s="1"/>
      <c r="BK88" s="1"/>
      <c r="BL88" s="1"/>
      <c r="BM88" s="1"/>
      <c r="BN88" s="1"/>
      <c r="BO88" s="1"/>
      <c r="BP88" s="1"/>
      <c r="BQ88" s="1"/>
      <c r="BR88" s="1"/>
      <c r="BS88" s="1"/>
      <c r="BT88" s="1">
        <v>37713.291666666657</v>
      </c>
      <c r="BU88" s="1"/>
      <c r="BV88" s="1"/>
      <c r="BW88" s="1"/>
      <c r="BX88" s="1"/>
      <c r="BY88" s="1">
        <v>37796.25</v>
      </c>
      <c r="BZ88" s="1"/>
      <c r="CA88" s="1"/>
      <c r="CB88" s="1"/>
      <c r="CC88" s="1"/>
      <c r="CD88" s="1"/>
      <c r="CE88" s="1"/>
      <c r="CF88" s="1"/>
      <c r="CG88" s="1"/>
      <c r="CH88" s="1"/>
      <c r="CI88" s="1"/>
      <c r="CJ88" s="1"/>
      <c r="CK88" s="1"/>
      <c r="CL88" s="1"/>
      <c r="CM88" s="1"/>
      <c r="CN88" s="1"/>
      <c r="CO88" s="1"/>
      <c r="CP88" s="1"/>
      <c r="CQ88" s="1"/>
      <c r="CR88" s="1">
        <v>37825.25</v>
      </c>
      <c r="CS88" s="1"/>
      <c r="CT88" s="1"/>
      <c r="CU88" s="1"/>
      <c r="CV88" s="1"/>
      <c r="CW88" s="1"/>
      <c r="CX88" s="1"/>
      <c r="CY88" s="1"/>
      <c r="CZ88" s="1"/>
      <c r="DA88" s="1"/>
      <c r="DB88" s="1"/>
      <c r="DC88" s="1"/>
      <c r="DD88" s="1"/>
      <c r="DE88" s="1"/>
      <c r="DF88" s="1"/>
      <c r="DG88" s="1"/>
      <c r="DH88" s="1">
        <v>37967.25</v>
      </c>
      <c r="DI88" s="1"/>
      <c r="DJ88" s="1"/>
      <c r="DK88" s="1"/>
      <c r="DL88" s="1">
        <v>38509.25</v>
      </c>
      <c r="DM88" s="1"/>
      <c r="DN88" s="1"/>
      <c r="DO88" s="1"/>
      <c r="DP88" s="1"/>
      <c r="DQ88" s="1">
        <v>38405.25</v>
      </c>
      <c r="DR88" s="1"/>
      <c r="DS88" s="1"/>
      <c r="DT88" s="1"/>
      <c r="DU88" s="1"/>
      <c r="DV88" s="1"/>
      <c r="DW88" s="1"/>
      <c r="DX88" s="1"/>
      <c r="DY88" s="1">
        <v>38527.25</v>
      </c>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row>
    <row r="89" spans="1:216" x14ac:dyDescent="0.3">
      <c r="A89" s="3" t="str">
        <f>HYPERLINK("https://hpr-rps.hres.ca/reg-content/summary-basis-decision-detailOne.php?lang=en&amp;linkID=SBD00089", "Lyrica")</f>
        <v>Lyrica</v>
      </c>
      <c r="B89" s="1" t="s">
        <v>306</v>
      </c>
      <c r="C89" s="1" t="s">
        <v>143</v>
      </c>
      <c r="D89" s="1" t="s">
        <v>307</v>
      </c>
      <c r="E89" s="1">
        <v>38198.25</v>
      </c>
      <c r="F89" s="1"/>
      <c r="G89" s="1"/>
      <c r="H89" s="1">
        <v>37956.25</v>
      </c>
      <c r="I89" s="1"/>
      <c r="J89" s="1"/>
      <c r="K89" s="1"/>
      <c r="L89" s="1"/>
      <c r="M89" s="1"/>
      <c r="N89" s="1"/>
      <c r="O89" s="1"/>
      <c r="P89" s="1"/>
      <c r="Q89" s="1"/>
      <c r="R89" s="1"/>
      <c r="S89" s="1"/>
      <c r="T89" s="1"/>
      <c r="U89" s="1"/>
      <c r="V89" s="1"/>
      <c r="W89" s="1"/>
      <c r="X89" s="1"/>
      <c r="Y89" s="1"/>
      <c r="Z89" s="1"/>
      <c r="AA89" s="1"/>
      <c r="AB89" s="1"/>
      <c r="AC89" s="1"/>
      <c r="AD89" s="1"/>
      <c r="AE89" s="1"/>
      <c r="AF89" s="1">
        <v>38000.25</v>
      </c>
      <c r="AG89" s="1"/>
      <c r="AH89" s="1"/>
      <c r="AI89" s="1"/>
      <c r="AJ89" s="1"/>
      <c r="AK89" s="1"/>
      <c r="AL89" s="1"/>
      <c r="AM89" s="1"/>
      <c r="AN89" s="1"/>
      <c r="AO89" s="1"/>
      <c r="AP89" s="1"/>
      <c r="AQ89" s="1"/>
      <c r="AR89" s="1">
        <v>38505.25</v>
      </c>
      <c r="AS89" s="1"/>
      <c r="AT89" s="1"/>
      <c r="AU89" s="1"/>
      <c r="AV89" s="1">
        <v>38279.25</v>
      </c>
      <c r="AW89" s="1"/>
      <c r="AX89" s="1"/>
      <c r="AY89" s="1"/>
      <c r="AZ89" s="1">
        <v>38503.25</v>
      </c>
      <c r="BA89" s="1"/>
      <c r="BB89" s="1"/>
      <c r="BC89" s="1"/>
      <c r="BD89" s="1"/>
      <c r="BE89" s="1"/>
      <c r="BF89" s="1"/>
      <c r="BG89" s="1"/>
      <c r="BH89" s="1"/>
      <c r="BI89" s="1"/>
      <c r="BJ89" s="1"/>
      <c r="BK89" s="1"/>
      <c r="BL89" s="1"/>
      <c r="BM89" s="1">
        <v>38506.25</v>
      </c>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row>
    <row r="90" spans="1:216" x14ac:dyDescent="0.3">
      <c r="A90" s="3" t="str">
        <f>HYPERLINK("https://hpr-rps.hres.ca/reg-content/summary-basis-decision-detailOne.php?lang=en&amp;linkID=SBD00090", "Mabcampath ®")</f>
        <v>Mabcampath ®</v>
      </c>
      <c r="B90" s="1" t="s">
        <v>308</v>
      </c>
      <c r="C90" s="1" t="s">
        <v>309</v>
      </c>
      <c r="D90" s="1" t="s">
        <v>310</v>
      </c>
      <c r="E90" s="1"/>
      <c r="F90" s="1"/>
      <c r="G90" s="1"/>
      <c r="H90" s="1"/>
      <c r="I90" s="1"/>
      <c r="J90" s="1"/>
      <c r="K90" s="1"/>
      <c r="L90" s="1"/>
      <c r="M90" s="1"/>
      <c r="N90" s="1">
        <v>37111.25</v>
      </c>
      <c r="O90" s="1"/>
      <c r="P90" s="1"/>
      <c r="Q90" s="1"/>
      <c r="R90" s="1"/>
      <c r="S90" s="1"/>
      <c r="T90" s="1">
        <v>37147.25</v>
      </c>
      <c r="U90" s="1"/>
      <c r="V90" s="1">
        <v>38478.25</v>
      </c>
      <c r="W90" s="1"/>
      <c r="X90" s="1"/>
      <c r="Y90" s="1"/>
      <c r="Z90" s="1">
        <v>37246.25</v>
      </c>
      <c r="AA90" s="1"/>
      <c r="AB90" s="1"/>
      <c r="AC90" s="1">
        <v>37288.25</v>
      </c>
      <c r="AD90" s="1"/>
      <c r="AE90" s="1"/>
      <c r="AF90" s="1">
        <v>37302.25</v>
      </c>
      <c r="AG90" s="1"/>
      <c r="AH90" s="1"/>
      <c r="AI90" s="1"/>
      <c r="AJ90" s="1"/>
      <c r="AK90" s="1"/>
      <c r="AL90" s="1"/>
      <c r="AM90" s="1"/>
      <c r="AN90" s="1"/>
      <c r="AO90" s="1"/>
      <c r="AP90" s="1"/>
      <c r="AQ90" s="1"/>
      <c r="AR90" s="1">
        <v>38680.25</v>
      </c>
      <c r="AS90" s="1"/>
      <c r="AT90" s="1"/>
      <c r="AU90" s="1"/>
      <c r="AV90" s="1">
        <v>38344.25</v>
      </c>
      <c r="AW90" s="1"/>
      <c r="AX90" s="1"/>
      <c r="AY90" s="1"/>
      <c r="AZ90" s="1">
        <v>38681.25</v>
      </c>
      <c r="BA90" s="1"/>
      <c r="BB90" s="1"/>
      <c r="BC90" s="1"/>
      <c r="BD90" s="1"/>
      <c r="BE90" s="1"/>
      <c r="BF90" s="1"/>
      <c r="BG90" s="1"/>
      <c r="BH90" s="1"/>
      <c r="BI90" s="1"/>
      <c r="BJ90" s="1"/>
      <c r="BK90" s="1"/>
      <c r="BL90" s="1"/>
      <c r="BM90" s="1">
        <v>38686.25</v>
      </c>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row>
    <row r="91" spans="1:216" x14ac:dyDescent="0.3">
      <c r="A91" s="3" t="str">
        <f>HYPERLINK("https://hpr-rps.hres.ca/reg-content/summary-basis-decision-detailOne.php?lang=en&amp;linkID=SBD00091", "Macugen")</f>
        <v>Macugen</v>
      </c>
      <c r="B91" s="1" t="s">
        <v>311</v>
      </c>
      <c r="C91" s="1" t="s">
        <v>143</v>
      </c>
      <c r="D91" s="1" t="s">
        <v>312</v>
      </c>
      <c r="E91" s="1">
        <v>38026.25</v>
      </c>
      <c r="F91" s="1"/>
      <c r="G91" s="1"/>
      <c r="H91" s="1"/>
      <c r="I91" s="1"/>
      <c r="J91" s="1"/>
      <c r="K91" s="1"/>
      <c r="L91" s="1"/>
      <c r="M91" s="1"/>
      <c r="N91" s="1">
        <v>38212.25</v>
      </c>
      <c r="O91" s="1"/>
      <c r="P91" s="1"/>
      <c r="Q91" s="1"/>
      <c r="R91" s="1"/>
      <c r="S91" s="1">
        <v>38244.25</v>
      </c>
      <c r="T91" s="1"/>
      <c r="U91" s="1"/>
      <c r="V91" s="1">
        <v>38246.25</v>
      </c>
      <c r="W91" s="1"/>
      <c r="X91" s="1"/>
      <c r="Y91" s="1"/>
      <c r="Z91" s="1"/>
      <c r="AA91" s="1"/>
      <c r="AB91" s="1"/>
      <c r="AC91" s="1"/>
      <c r="AD91" s="1"/>
      <c r="AE91" s="1"/>
      <c r="AF91" s="1">
        <v>38301.25</v>
      </c>
      <c r="AG91" s="1"/>
      <c r="AH91" s="1"/>
      <c r="AI91" s="1"/>
      <c r="AJ91" s="1"/>
      <c r="AK91" s="1"/>
      <c r="AL91" s="1"/>
      <c r="AM91" s="1"/>
      <c r="AN91" s="1"/>
      <c r="AO91" s="1"/>
      <c r="AP91" s="1"/>
      <c r="AQ91" s="1"/>
      <c r="AR91" s="1">
        <v>38455.25</v>
      </c>
      <c r="AS91" s="1"/>
      <c r="AT91" s="1"/>
      <c r="AU91" s="1"/>
      <c r="AV91" s="1">
        <v>38448.25</v>
      </c>
      <c r="AW91" s="1"/>
      <c r="AX91" s="1"/>
      <c r="AY91" s="1"/>
      <c r="AZ91" s="1">
        <v>38457.25</v>
      </c>
      <c r="BA91" s="1"/>
      <c r="BB91" s="1"/>
      <c r="BC91" s="1"/>
      <c r="BD91" s="1"/>
      <c r="BE91" s="1"/>
      <c r="BF91" s="1"/>
      <c r="BG91" s="1"/>
      <c r="BH91" s="1"/>
      <c r="BI91" s="1"/>
      <c r="BJ91" s="1"/>
      <c r="BK91" s="1"/>
      <c r="BL91" s="1"/>
      <c r="BM91" s="1">
        <v>38474.25</v>
      </c>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row>
    <row r="92" spans="1:216" x14ac:dyDescent="0.3">
      <c r="A92" s="3" t="str">
        <f>HYPERLINK("https://hpr-rps.hres.ca/reg-content/summary-basis-decision-detailOne.php?lang=en&amp;linkID=SBD00092", "Menveo TM")</f>
        <v>Menveo TM</v>
      </c>
      <c r="B92" s="1" t="s">
        <v>313</v>
      </c>
      <c r="C92" s="1" t="s">
        <v>314</v>
      </c>
      <c r="D92" s="1" t="s">
        <v>315</v>
      </c>
      <c r="E92" s="1">
        <v>39752.208333333343</v>
      </c>
      <c r="F92" s="1"/>
      <c r="G92" s="1"/>
      <c r="H92" s="1">
        <v>39804.25</v>
      </c>
      <c r="I92" s="1"/>
      <c r="J92" s="1"/>
      <c r="K92" s="1"/>
      <c r="L92" s="1"/>
      <c r="M92" s="1"/>
      <c r="N92" s="1"/>
      <c r="O92" s="1"/>
      <c r="P92" s="1"/>
      <c r="Q92" s="1"/>
      <c r="R92" s="1"/>
      <c r="S92" s="1"/>
      <c r="T92" s="1"/>
      <c r="U92" s="1"/>
      <c r="V92" s="1"/>
      <c r="W92" s="1"/>
      <c r="X92" s="1"/>
      <c r="Y92" s="1"/>
      <c r="Z92" s="1">
        <v>39854.25</v>
      </c>
      <c r="AA92" s="1"/>
      <c r="AB92" s="1"/>
      <c r="AC92" s="1">
        <v>39899.208333333343</v>
      </c>
      <c r="AD92" s="1"/>
      <c r="AE92" s="1"/>
      <c r="AF92" s="1">
        <v>39941.25</v>
      </c>
      <c r="AG92" s="1"/>
      <c r="AH92" s="1"/>
      <c r="AI92" s="1"/>
      <c r="AJ92" s="1"/>
      <c r="AK92" s="1"/>
      <c r="AL92" s="1"/>
      <c r="AM92" s="1"/>
      <c r="AN92" s="1"/>
      <c r="AO92" s="1">
        <v>40203.25</v>
      </c>
      <c r="AP92" s="1"/>
      <c r="AQ92" s="1"/>
      <c r="AR92" s="1">
        <v>40319.25</v>
      </c>
      <c r="AS92" s="1"/>
      <c r="AT92" s="1"/>
      <c r="AU92" s="1"/>
      <c r="AV92" s="1">
        <v>40319.25</v>
      </c>
      <c r="AW92" s="1"/>
      <c r="AX92" s="1"/>
      <c r="AY92" s="1"/>
      <c r="AZ92" s="1">
        <v>40319.25</v>
      </c>
      <c r="BA92" s="1"/>
      <c r="BB92" s="1"/>
      <c r="BC92" s="1"/>
      <c r="BD92" s="1"/>
      <c r="BE92" s="1"/>
      <c r="BF92" s="1"/>
      <c r="BG92" s="1"/>
      <c r="BH92" s="1"/>
      <c r="BI92" s="1"/>
      <c r="BJ92" s="1"/>
      <c r="BK92" s="1"/>
      <c r="BL92" s="1"/>
      <c r="BM92" s="1">
        <v>40319.25</v>
      </c>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row>
    <row r="93" spans="1:216" x14ac:dyDescent="0.3">
      <c r="A93" s="3" t="str">
        <f>HYPERLINK("https://hpr-rps.hres.ca/reg-content/summary-basis-decision-detailOne.php?lang=en&amp;linkID=SBD00093", "Metvix TM")</f>
        <v>Metvix TM</v>
      </c>
      <c r="B93" s="1" t="s">
        <v>316</v>
      </c>
      <c r="C93" s="1" t="s">
        <v>204</v>
      </c>
      <c r="D93" s="1" t="s">
        <v>317</v>
      </c>
      <c r="E93" s="1"/>
      <c r="F93" s="1"/>
      <c r="G93" s="1"/>
      <c r="H93" s="1">
        <v>39078.25</v>
      </c>
      <c r="I93" s="1"/>
      <c r="J93" s="1"/>
      <c r="K93" s="1"/>
      <c r="L93" s="1"/>
      <c r="M93" s="1"/>
      <c r="N93" s="1"/>
      <c r="O93" s="1"/>
      <c r="P93" s="1"/>
      <c r="Q93" s="1"/>
      <c r="R93" s="1"/>
      <c r="S93" s="1"/>
      <c r="T93" s="1"/>
      <c r="U93" s="1"/>
      <c r="V93" s="1"/>
      <c r="W93" s="1"/>
      <c r="X93" s="1"/>
      <c r="Y93" s="1"/>
      <c r="Z93" s="1"/>
      <c r="AA93" s="1"/>
      <c r="AB93" s="1"/>
      <c r="AC93" s="1"/>
      <c r="AD93" s="1"/>
      <c r="AE93" s="1"/>
      <c r="AF93" s="1">
        <v>39134.25</v>
      </c>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v>39434.25</v>
      </c>
      <c r="BQ93" s="1"/>
      <c r="BR93" s="1"/>
      <c r="BS93" s="1"/>
      <c r="BT93" s="1"/>
      <c r="BU93" s="1"/>
      <c r="BV93" s="1"/>
      <c r="BW93" s="1"/>
      <c r="BX93" s="1"/>
      <c r="BY93" s="1">
        <v>39524.208333333343</v>
      </c>
      <c r="BZ93" s="1"/>
      <c r="CA93" s="1"/>
      <c r="CB93" s="1"/>
      <c r="CC93" s="1"/>
      <c r="CD93" s="1"/>
      <c r="CE93" s="1"/>
      <c r="CF93" s="1"/>
      <c r="CG93" s="1"/>
      <c r="CH93" s="1"/>
      <c r="CI93" s="1"/>
      <c r="CJ93" s="1"/>
      <c r="CK93" s="1"/>
      <c r="CL93" s="1"/>
      <c r="CM93" s="1"/>
      <c r="CN93" s="1"/>
      <c r="CO93" s="1"/>
      <c r="CP93" s="1"/>
      <c r="CQ93" s="1"/>
      <c r="CR93" s="1">
        <v>39570.25</v>
      </c>
      <c r="CS93" s="1"/>
      <c r="CT93" s="1"/>
      <c r="CU93" s="1"/>
      <c r="CV93" s="1"/>
      <c r="CW93" s="1"/>
      <c r="CX93" s="1"/>
      <c r="CY93" s="1"/>
      <c r="CZ93" s="1"/>
      <c r="DA93" s="1"/>
      <c r="DB93" s="1"/>
      <c r="DC93" s="1"/>
      <c r="DD93" s="1">
        <v>39870.25</v>
      </c>
      <c r="DE93" s="1"/>
      <c r="DF93" s="1"/>
      <c r="DG93" s="1"/>
      <c r="DH93" s="1">
        <v>39870.25</v>
      </c>
      <c r="DI93" s="1"/>
      <c r="DJ93" s="1"/>
      <c r="DK93" s="1"/>
      <c r="DL93" s="1">
        <v>39869.25</v>
      </c>
      <c r="DM93" s="1"/>
      <c r="DN93" s="1"/>
      <c r="DO93" s="1"/>
      <c r="DP93" s="1"/>
      <c r="DQ93" s="1"/>
      <c r="DR93" s="1"/>
      <c r="DS93" s="1"/>
      <c r="DT93" s="1"/>
      <c r="DU93" s="1"/>
      <c r="DV93" s="1"/>
      <c r="DW93" s="1"/>
      <c r="DX93" s="1"/>
      <c r="DY93" s="1">
        <v>39870.25</v>
      </c>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row>
    <row r="94" spans="1:216" x14ac:dyDescent="0.3">
      <c r="A94" s="3" t="str">
        <f>HYPERLINK("https://hpr-rps.hres.ca/reg-content/summary-basis-decision-detailOne.php?lang=en&amp;linkID=SBD00094", "Mircera TM")</f>
        <v>Mircera TM</v>
      </c>
      <c r="B94" s="1" t="s">
        <v>318</v>
      </c>
      <c r="C94" s="1" t="s">
        <v>319</v>
      </c>
      <c r="D94" s="1" t="s">
        <v>320</v>
      </c>
      <c r="E94" s="1">
        <v>38786.25</v>
      </c>
      <c r="F94" s="1"/>
      <c r="G94" s="1"/>
      <c r="H94" s="1">
        <v>38876.25</v>
      </c>
      <c r="I94" s="1"/>
      <c r="J94" s="1"/>
      <c r="K94" s="1"/>
      <c r="L94" s="1"/>
      <c r="M94" s="1"/>
      <c r="N94" s="1"/>
      <c r="O94" s="1"/>
      <c r="P94" s="1"/>
      <c r="Q94" s="1"/>
      <c r="R94" s="1"/>
      <c r="S94" s="1"/>
      <c r="T94" s="1"/>
      <c r="U94" s="1"/>
      <c r="V94" s="1"/>
      <c r="W94" s="1"/>
      <c r="X94" s="1"/>
      <c r="Y94" s="1"/>
      <c r="Z94" s="1"/>
      <c r="AA94" s="1"/>
      <c r="AB94" s="1"/>
      <c r="AC94" s="1"/>
      <c r="AD94" s="1"/>
      <c r="AE94" s="1"/>
      <c r="AF94" s="1">
        <v>38931.25</v>
      </c>
      <c r="AG94" s="1"/>
      <c r="AH94" s="1"/>
      <c r="AI94" s="1"/>
      <c r="AJ94" s="1"/>
      <c r="AK94" s="1"/>
      <c r="AL94" s="1"/>
      <c r="AM94" s="1"/>
      <c r="AN94" s="1"/>
      <c r="AO94" s="1"/>
      <c r="AP94" s="1"/>
      <c r="AQ94" s="1"/>
      <c r="AR94" s="1"/>
      <c r="AS94" s="1"/>
      <c r="AT94" s="1"/>
      <c r="AU94" s="1"/>
      <c r="AV94" s="1">
        <v>39128.25</v>
      </c>
      <c r="AW94" s="1"/>
      <c r="AX94" s="1"/>
      <c r="AY94" s="1"/>
      <c r="AZ94" s="1"/>
      <c r="BA94" s="1"/>
      <c r="BB94" s="1"/>
      <c r="BC94" s="1"/>
      <c r="BD94" s="1"/>
      <c r="BE94" s="1"/>
      <c r="BF94" s="1"/>
      <c r="BG94" s="1"/>
      <c r="BH94" s="1"/>
      <c r="BI94" s="1"/>
      <c r="BJ94" s="1"/>
      <c r="BK94" s="1"/>
      <c r="BL94" s="1"/>
      <c r="BM94" s="1"/>
      <c r="BN94" s="1"/>
      <c r="BO94" s="1"/>
      <c r="BP94" s="1"/>
      <c r="BQ94" s="1"/>
      <c r="BR94" s="1"/>
      <c r="BS94" s="1"/>
      <c r="BT94" s="1"/>
      <c r="BU94" s="1">
        <v>39128.25</v>
      </c>
      <c r="BV94" s="1"/>
      <c r="BW94" s="1"/>
      <c r="BX94" s="1"/>
      <c r="BY94" s="1">
        <v>39219.25</v>
      </c>
      <c r="BZ94" s="1"/>
      <c r="CA94" s="1"/>
      <c r="CB94" s="1"/>
      <c r="CC94" s="1"/>
      <c r="CD94" s="1"/>
      <c r="CE94" s="1"/>
      <c r="CF94" s="1"/>
      <c r="CG94" s="1"/>
      <c r="CH94" s="1"/>
      <c r="CI94" s="1"/>
      <c r="CJ94" s="1"/>
      <c r="CK94" s="1"/>
      <c r="CL94" s="1"/>
      <c r="CM94" s="1"/>
      <c r="CN94" s="1"/>
      <c r="CO94" s="1"/>
      <c r="CP94" s="1"/>
      <c r="CQ94" s="1"/>
      <c r="CR94" s="1">
        <v>39262.25</v>
      </c>
      <c r="CS94" s="1"/>
      <c r="CT94" s="1"/>
      <c r="CU94" s="1"/>
      <c r="CV94" s="1"/>
      <c r="CW94" s="1"/>
      <c r="CX94" s="1"/>
      <c r="CY94" s="1"/>
      <c r="CZ94" s="1"/>
      <c r="DA94" s="1">
        <v>39342.25</v>
      </c>
      <c r="DB94" s="1"/>
      <c r="DC94" s="1"/>
      <c r="DD94" s="1">
        <v>39513.25</v>
      </c>
      <c r="DE94" s="1"/>
      <c r="DF94" s="1"/>
      <c r="DG94" s="1"/>
      <c r="DH94" s="1">
        <v>39535.208333333343</v>
      </c>
      <c r="DI94" s="1"/>
      <c r="DJ94" s="1"/>
      <c r="DK94" s="1"/>
      <c r="DL94" s="1">
        <v>39532.208333333343</v>
      </c>
      <c r="DM94" s="1"/>
      <c r="DN94" s="1"/>
      <c r="DO94" s="1"/>
      <c r="DP94" s="1"/>
      <c r="DQ94" s="1"/>
      <c r="DR94" s="1"/>
      <c r="DS94" s="1"/>
      <c r="DT94" s="1"/>
      <c r="DU94" s="1"/>
      <c r="DV94" s="1"/>
      <c r="DW94" s="1"/>
      <c r="DX94" s="1"/>
      <c r="DY94" s="1">
        <v>39538.25</v>
      </c>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row>
    <row r="95" spans="1:216" x14ac:dyDescent="0.3">
      <c r="A95" s="3" t="str">
        <f>HYPERLINK("https://hpr-rps.hres.ca/reg-content/summary-basis-decision-detailOne.php?lang=en&amp;linkID=SBD00095", "Mozobil TM")</f>
        <v>Mozobil TM</v>
      </c>
      <c r="B95" s="1" t="s">
        <v>321</v>
      </c>
      <c r="C95" s="1" t="s">
        <v>161</v>
      </c>
      <c r="D95" s="1" t="s">
        <v>322</v>
      </c>
      <c r="E95" s="1">
        <v>40451.25</v>
      </c>
      <c r="F95" s="1"/>
      <c r="G95" s="1"/>
      <c r="H95" s="1">
        <v>40533.25</v>
      </c>
      <c r="I95" s="1"/>
      <c r="J95" s="1"/>
      <c r="K95" s="1"/>
      <c r="L95" s="1"/>
      <c r="M95" s="1"/>
      <c r="N95" s="1"/>
      <c r="O95" s="1"/>
      <c r="P95" s="1"/>
      <c r="Q95" s="1"/>
      <c r="R95" s="1"/>
      <c r="S95" s="1"/>
      <c r="T95" s="1"/>
      <c r="U95" s="1"/>
      <c r="V95" s="1"/>
      <c r="W95" s="1"/>
      <c r="X95" s="1"/>
      <c r="Y95" s="1"/>
      <c r="Z95" s="1"/>
      <c r="AA95" s="1"/>
      <c r="AB95" s="1"/>
      <c r="AC95" s="1"/>
      <c r="AD95" s="1"/>
      <c r="AE95" s="1"/>
      <c r="AF95" s="1">
        <v>40585.25</v>
      </c>
      <c r="AG95" s="1"/>
      <c r="AH95" s="1"/>
      <c r="AI95" s="1"/>
      <c r="AJ95" s="1"/>
      <c r="AK95" s="1"/>
      <c r="AL95" s="1"/>
      <c r="AM95" s="1"/>
      <c r="AN95" s="1"/>
      <c r="AO95" s="1"/>
      <c r="AP95" s="1"/>
      <c r="AQ95" s="1"/>
      <c r="AR95" s="1">
        <v>40885.25</v>
      </c>
      <c r="AS95" s="1"/>
      <c r="AT95" s="1"/>
      <c r="AU95" s="1"/>
      <c r="AV95" s="1">
        <v>40882.25</v>
      </c>
      <c r="AW95" s="1"/>
      <c r="AX95" s="1"/>
      <c r="AY95" s="1"/>
      <c r="AZ95" s="1">
        <v>40885.25</v>
      </c>
      <c r="BA95" s="1"/>
      <c r="BB95" s="1"/>
      <c r="BC95" s="1"/>
      <c r="BD95" s="1">
        <v>40779.25</v>
      </c>
      <c r="BE95" s="1"/>
      <c r="BF95" s="1"/>
      <c r="BG95" s="1"/>
      <c r="BH95" s="1"/>
      <c r="BI95" s="1"/>
      <c r="BJ95" s="1"/>
      <c r="BK95" s="1"/>
      <c r="BL95" s="1"/>
      <c r="BM95" s="1">
        <v>40885.25</v>
      </c>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row>
    <row r="96" spans="1:216" x14ac:dyDescent="0.3">
      <c r="A96" s="3" t="str">
        <f>HYPERLINK("https://hpr-rps.hres.ca/reg-content/summary-basis-decision-detailOne.php?lang=en&amp;linkID=SBD00108", "Orencia")</f>
        <v>Orencia</v>
      </c>
      <c r="B96" s="1" t="s">
        <v>323</v>
      </c>
      <c r="C96" s="1" t="s">
        <v>81</v>
      </c>
      <c r="D96" s="1" t="s">
        <v>324</v>
      </c>
      <c r="E96" s="1">
        <v>38373.25</v>
      </c>
      <c r="F96" s="1"/>
      <c r="G96" s="1"/>
      <c r="H96" s="1"/>
      <c r="I96" s="1"/>
      <c r="J96" s="1"/>
      <c r="K96" s="1"/>
      <c r="L96" s="1"/>
      <c r="M96" s="1"/>
      <c r="N96" s="1">
        <v>38421.25</v>
      </c>
      <c r="O96" s="1"/>
      <c r="P96" s="1"/>
      <c r="Q96" s="1"/>
      <c r="R96" s="1"/>
      <c r="S96" s="1">
        <v>38441.291666666657</v>
      </c>
      <c r="T96" s="1"/>
      <c r="U96" s="1"/>
      <c r="V96" s="1">
        <v>38478.25</v>
      </c>
      <c r="W96" s="1"/>
      <c r="X96" s="1"/>
      <c r="Y96" s="1"/>
      <c r="Z96" s="1"/>
      <c r="AA96" s="1"/>
      <c r="AB96" s="1"/>
      <c r="AC96" s="1"/>
      <c r="AD96" s="1"/>
      <c r="AE96" s="1"/>
      <c r="AF96" s="1">
        <v>38509.25</v>
      </c>
      <c r="AG96" s="1"/>
      <c r="AH96" s="1"/>
      <c r="AI96" s="1"/>
      <c r="AJ96" s="1"/>
      <c r="AK96" s="1"/>
      <c r="AL96" s="1"/>
      <c r="AM96" s="1"/>
      <c r="AN96" s="1"/>
      <c r="AO96" s="1">
        <v>38807.291666666657</v>
      </c>
      <c r="AP96" s="1"/>
      <c r="AQ96" s="1"/>
      <c r="AR96" s="1">
        <v>38882.25</v>
      </c>
      <c r="AS96" s="1"/>
      <c r="AT96" s="1"/>
      <c r="AU96" s="1"/>
      <c r="AV96" s="1">
        <v>38880.25</v>
      </c>
      <c r="AW96" s="1"/>
      <c r="AX96" s="1"/>
      <c r="AY96" s="1"/>
      <c r="AZ96" s="1">
        <v>38863.25</v>
      </c>
      <c r="BA96" s="1"/>
      <c r="BB96" s="1"/>
      <c r="BC96" s="1"/>
      <c r="BD96" s="1"/>
      <c r="BE96" s="1"/>
      <c r="BF96" s="1"/>
      <c r="BG96" s="1"/>
      <c r="BH96" s="1"/>
      <c r="BI96" s="1"/>
      <c r="BJ96" s="1"/>
      <c r="BK96" s="1"/>
      <c r="BL96" s="1"/>
      <c r="BM96" s="1">
        <v>38897.25</v>
      </c>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row>
    <row r="97" spans="1:216" x14ac:dyDescent="0.3">
      <c r="A97" s="3" t="str">
        <f>HYPERLINK("https://hpr-rps.hres.ca/reg-content/summary-basis-decision-detailOne.php?lang=en&amp;linkID=SBD00096", "Multaq TM")</f>
        <v>Multaq TM</v>
      </c>
      <c r="B97" s="1" t="s">
        <v>325</v>
      </c>
      <c r="C97" s="1" t="s">
        <v>102</v>
      </c>
      <c r="D97" s="1" t="s">
        <v>326</v>
      </c>
      <c r="E97" s="1">
        <v>39638.25</v>
      </c>
      <c r="F97" s="1"/>
      <c r="G97" s="1"/>
      <c r="H97" s="1"/>
      <c r="I97" s="1"/>
      <c r="J97" s="1"/>
      <c r="K97" s="1"/>
      <c r="L97" s="1"/>
      <c r="M97" s="1"/>
      <c r="N97" s="1">
        <v>39659.25</v>
      </c>
      <c r="O97" s="1"/>
      <c r="P97" s="1"/>
      <c r="Q97" s="1"/>
      <c r="R97" s="1"/>
      <c r="S97" s="1">
        <v>39689.25</v>
      </c>
      <c r="T97" s="1"/>
      <c r="U97" s="1"/>
      <c r="V97" s="1">
        <v>39693.25</v>
      </c>
      <c r="W97" s="1"/>
      <c r="X97" s="1"/>
      <c r="Y97" s="1"/>
      <c r="Z97" s="1"/>
      <c r="AA97" s="1"/>
      <c r="AB97" s="1"/>
      <c r="AC97" s="1"/>
      <c r="AD97" s="1"/>
      <c r="AE97" s="1"/>
      <c r="AF97" s="1">
        <v>39724.25</v>
      </c>
      <c r="AG97" s="1"/>
      <c r="AH97" s="1"/>
      <c r="AI97" s="1"/>
      <c r="AJ97" s="1"/>
      <c r="AK97" s="1"/>
      <c r="AL97" s="1"/>
      <c r="AM97" s="1"/>
      <c r="AN97" s="1"/>
      <c r="AO97" s="1"/>
      <c r="AP97" s="1"/>
      <c r="AQ97" s="1"/>
      <c r="AR97" s="1">
        <v>40023.25</v>
      </c>
      <c r="AS97" s="1">
        <v>39877.25</v>
      </c>
      <c r="AT97" s="1"/>
      <c r="AU97" s="1"/>
      <c r="AV97" s="1">
        <v>39903.25</v>
      </c>
      <c r="AW97" s="1"/>
      <c r="AX97" s="1"/>
      <c r="AY97" s="1"/>
      <c r="AZ97" s="1">
        <v>40024.25</v>
      </c>
      <c r="BA97" s="1"/>
      <c r="BB97" s="1"/>
      <c r="BC97" s="1"/>
      <c r="BD97" s="1"/>
      <c r="BE97" s="1"/>
      <c r="BF97" s="1"/>
      <c r="BG97" s="1"/>
      <c r="BH97" s="1"/>
      <c r="BI97" s="1"/>
      <c r="BJ97" s="1"/>
      <c r="BK97" s="1"/>
      <c r="BL97" s="1"/>
      <c r="BM97" s="1"/>
      <c r="BN97" s="1"/>
      <c r="BO97" s="1"/>
      <c r="BP97" s="1"/>
      <c r="BQ97" s="1"/>
      <c r="BR97" s="1"/>
      <c r="BS97" s="1"/>
      <c r="BT97" s="1"/>
      <c r="BU97" s="1">
        <v>40036.25</v>
      </c>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row>
    <row r="98" spans="1:216" x14ac:dyDescent="0.3">
      <c r="A98" s="3" t="str">
        <f>HYPERLINK("https://hpr-rps.hres.ca/reg-content/summary-basis-decision-detailOne.php?lang=en&amp;linkID=SBD00097", "Mycamine ®")</f>
        <v>Mycamine ®</v>
      </c>
      <c r="B98" s="1" t="s">
        <v>327</v>
      </c>
      <c r="C98" s="1" t="s">
        <v>328</v>
      </c>
      <c r="D98" s="1" t="s">
        <v>329</v>
      </c>
      <c r="E98" s="1"/>
      <c r="F98" s="1"/>
      <c r="G98" s="1"/>
      <c r="H98" s="1"/>
      <c r="I98" s="1"/>
      <c r="J98" s="1"/>
      <c r="K98" s="1"/>
      <c r="L98" s="1"/>
      <c r="M98" s="1"/>
      <c r="N98" s="1">
        <v>37410.25</v>
      </c>
      <c r="O98" s="1"/>
      <c r="P98" s="1"/>
      <c r="Q98" s="1"/>
      <c r="R98" s="1"/>
      <c r="S98" s="1"/>
      <c r="T98" s="1">
        <v>37442.25</v>
      </c>
      <c r="U98" s="1"/>
      <c r="V98" s="1">
        <v>37434.25</v>
      </c>
      <c r="W98" s="1"/>
      <c r="X98" s="1"/>
      <c r="Y98" s="1"/>
      <c r="Z98" s="1"/>
      <c r="AA98" s="1"/>
      <c r="AB98" s="1"/>
      <c r="AC98" s="1"/>
      <c r="AD98" s="1"/>
      <c r="AE98" s="1"/>
      <c r="AF98" s="1">
        <v>37474.25</v>
      </c>
      <c r="AG98" s="1"/>
      <c r="AH98" s="1"/>
      <c r="AI98" s="1"/>
      <c r="AJ98" s="1"/>
      <c r="AK98" s="1"/>
      <c r="AL98" s="1"/>
      <c r="AM98" s="1"/>
      <c r="AN98" s="1"/>
      <c r="AO98" s="1"/>
      <c r="AP98" s="1"/>
      <c r="AQ98" s="1"/>
      <c r="AR98" s="1"/>
      <c r="AS98" s="1"/>
      <c r="AT98" s="1"/>
      <c r="AU98" s="1"/>
      <c r="AV98" s="1">
        <v>37824.25</v>
      </c>
      <c r="AW98" s="1"/>
      <c r="AX98" s="1"/>
      <c r="AY98" s="1"/>
      <c r="AZ98" s="1">
        <v>38096.25</v>
      </c>
      <c r="BA98" s="1"/>
      <c r="BB98" s="1"/>
      <c r="BC98" s="1"/>
      <c r="BD98" s="1"/>
      <c r="BE98" s="1"/>
      <c r="BF98" s="1"/>
      <c r="BG98" s="1"/>
      <c r="BH98" s="1"/>
      <c r="BI98" s="1"/>
      <c r="BJ98" s="1"/>
      <c r="BK98" s="1"/>
      <c r="BL98" s="1"/>
      <c r="BM98" s="1"/>
      <c r="BN98" s="1"/>
      <c r="BO98" s="1"/>
      <c r="BP98" s="1"/>
      <c r="BQ98" s="1"/>
      <c r="BR98" s="1"/>
      <c r="BS98" s="1"/>
      <c r="BT98" s="1">
        <v>38099.25</v>
      </c>
      <c r="BU98" s="1"/>
      <c r="BV98" s="1"/>
      <c r="BW98" s="1"/>
      <c r="BX98" s="1"/>
      <c r="BY98" s="1">
        <v>38196.25</v>
      </c>
      <c r="BZ98" s="1"/>
      <c r="CA98" s="1"/>
      <c r="CB98" s="1"/>
      <c r="CC98" s="1"/>
      <c r="CD98" s="1"/>
      <c r="CE98" s="1"/>
      <c r="CF98" s="1"/>
      <c r="CG98" s="1"/>
      <c r="CH98" s="1"/>
      <c r="CI98" s="1"/>
      <c r="CJ98" s="1"/>
      <c r="CK98" s="1"/>
      <c r="CL98" s="1"/>
      <c r="CM98" s="1"/>
      <c r="CN98" s="1"/>
      <c r="CO98" s="1"/>
      <c r="CP98" s="1"/>
      <c r="CQ98" s="1"/>
      <c r="CR98" s="1">
        <v>38219.25</v>
      </c>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v>38426.25</v>
      </c>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row>
    <row r="99" spans="1:216" x14ac:dyDescent="0.3">
      <c r="A99" s="3" t="str">
        <f>HYPERLINK("https://hpr-rps.hres.ca/reg-content/summary-basis-decision-detailOne.php?lang=en&amp;linkID=SBD00098", "Myozyme ®")</f>
        <v>Myozyme ®</v>
      </c>
      <c r="B99" s="1" t="s">
        <v>330</v>
      </c>
      <c r="C99" s="1" t="s">
        <v>161</v>
      </c>
      <c r="D99" s="1" t="s">
        <v>331</v>
      </c>
      <c r="E99" s="1">
        <v>38567.25</v>
      </c>
      <c r="F99" s="1"/>
      <c r="G99" s="1"/>
      <c r="H99" s="1"/>
      <c r="I99" s="1"/>
      <c r="J99" s="1"/>
      <c r="K99" s="1"/>
      <c r="L99" s="1"/>
      <c r="M99" s="1"/>
      <c r="N99" s="1">
        <v>38636.25</v>
      </c>
      <c r="O99" s="1"/>
      <c r="P99" s="1"/>
      <c r="Q99" s="1"/>
      <c r="R99" s="1"/>
      <c r="S99" s="1">
        <v>38665.25</v>
      </c>
      <c r="T99" s="1"/>
      <c r="U99" s="1"/>
      <c r="V99" s="1">
        <v>38715.25</v>
      </c>
      <c r="W99" s="1"/>
      <c r="X99" s="1"/>
      <c r="Y99" s="1"/>
      <c r="Z99" s="1"/>
      <c r="AA99" s="1"/>
      <c r="AB99" s="1"/>
      <c r="AC99" s="1"/>
      <c r="AD99" s="1"/>
      <c r="AE99" s="1"/>
      <c r="AF99" s="1">
        <v>38763.25</v>
      </c>
      <c r="AG99" s="1"/>
      <c r="AH99" s="1"/>
      <c r="AI99" s="1"/>
      <c r="AJ99" s="1"/>
      <c r="AK99" s="1"/>
      <c r="AL99" s="1"/>
      <c r="AM99" s="1"/>
      <c r="AN99" s="1"/>
      <c r="AO99" s="1"/>
      <c r="AP99" s="1"/>
      <c r="AQ99" s="1"/>
      <c r="AR99" s="1">
        <v>38929.25</v>
      </c>
      <c r="AS99" s="1"/>
      <c r="AT99" s="1"/>
      <c r="AU99" s="1"/>
      <c r="AV99" s="1">
        <v>38940.25</v>
      </c>
      <c r="AW99" s="1"/>
      <c r="AX99" s="1"/>
      <c r="AY99" s="1"/>
      <c r="AZ99" s="1">
        <v>38940.25</v>
      </c>
      <c r="BA99" s="1"/>
      <c r="BB99" s="1"/>
      <c r="BC99" s="1"/>
      <c r="BD99" s="1"/>
      <c r="BE99" s="1"/>
      <c r="BF99" s="1"/>
      <c r="BG99" s="1"/>
      <c r="BH99" s="1"/>
      <c r="BI99" s="1"/>
      <c r="BJ99" s="1"/>
      <c r="BK99" s="1"/>
      <c r="BL99" s="1"/>
      <c r="BM99" s="1">
        <v>38943.25</v>
      </c>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row>
    <row r="100" spans="1:216" x14ac:dyDescent="0.3">
      <c r="A100" s="3" t="str">
        <f>HYPERLINK("https://hpr-rps.hres.ca/reg-content/summary-basis-decision-detailOne.php?lang=en&amp;linkID=SBD00099", "Natrecor")</f>
        <v>Natrecor</v>
      </c>
      <c r="B100" s="1" t="s">
        <v>332</v>
      </c>
      <c r="C100" s="1" t="s">
        <v>196</v>
      </c>
      <c r="D100" s="1" t="s">
        <v>333</v>
      </c>
      <c r="E100" s="1">
        <v>38328.25</v>
      </c>
      <c r="F100" s="1"/>
      <c r="G100" s="1"/>
      <c r="H100" s="1"/>
      <c r="I100" s="1"/>
      <c r="J100" s="1"/>
      <c r="K100" s="1"/>
      <c r="L100" s="1"/>
      <c r="M100" s="1"/>
      <c r="N100" s="1">
        <v>38341.25</v>
      </c>
      <c r="O100" s="1"/>
      <c r="P100" s="1"/>
      <c r="Q100" s="1"/>
      <c r="R100" s="1"/>
      <c r="S100" s="1">
        <v>38369.25</v>
      </c>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row>
    <row r="101" spans="1:216" x14ac:dyDescent="0.3">
      <c r="A101" s="3" t="str">
        <f>HYPERLINK("https://hpr-rps.hres.ca/reg-content/summary-basis-decision-detailOne.php?lang=en&amp;linkID=SBD00100", "Nevanac TM")</f>
        <v>Nevanac TM</v>
      </c>
      <c r="B101" s="1" t="s">
        <v>334</v>
      </c>
      <c r="C101" s="1" t="s">
        <v>335</v>
      </c>
      <c r="D101" s="1" t="s">
        <v>336</v>
      </c>
      <c r="E101" s="1"/>
      <c r="F101" s="1"/>
      <c r="G101" s="1"/>
      <c r="H101" s="1">
        <v>39206.25</v>
      </c>
      <c r="I101" s="1"/>
      <c r="J101" s="1"/>
      <c r="K101" s="1"/>
      <c r="L101" s="1"/>
      <c r="M101" s="1"/>
      <c r="N101" s="1"/>
      <c r="O101" s="1"/>
      <c r="P101" s="1"/>
      <c r="Q101" s="1"/>
      <c r="R101" s="1"/>
      <c r="S101" s="1"/>
      <c r="T101" s="1"/>
      <c r="U101" s="1"/>
      <c r="V101" s="1"/>
      <c r="W101" s="1"/>
      <c r="X101" s="1"/>
      <c r="Y101" s="1"/>
      <c r="Z101" s="1"/>
      <c r="AA101" s="1"/>
      <c r="AB101" s="1"/>
      <c r="AC101" s="1"/>
      <c r="AD101" s="1"/>
      <c r="AE101" s="1"/>
      <c r="AF101" s="1">
        <v>39255.25</v>
      </c>
      <c r="AG101" s="1"/>
      <c r="AH101" s="1"/>
      <c r="AI101" s="1"/>
      <c r="AJ101" s="1"/>
      <c r="AK101" s="1"/>
      <c r="AL101" s="1"/>
      <c r="AM101" s="1"/>
      <c r="AN101" s="1"/>
      <c r="AO101" s="1"/>
      <c r="AP101" s="1"/>
      <c r="AQ101" s="1"/>
      <c r="AR101" s="1">
        <v>39553.25</v>
      </c>
      <c r="AS101" s="1"/>
      <c r="AT101" s="1"/>
      <c r="AU101" s="1"/>
      <c r="AV101" s="1">
        <v>39547.25</v>
      </c>
      <c r="AW101" s="1"/>
      <c r="AX101" s="1"/>
      <c r="AY101" s="1"/>
      <c r="AZ101" s="1">
        <v>39553.25</v>
      </c>
      <c r="BA101" s="1"/>
      <c r="BB101" s="1"/>
      <c r="BC101" s="1"/>
      <c r="BD101" s="1"/>
      <c r="BE101" s="1"/>
      <c r="BF101" s="1"/>
      <c r="BG101" s="1"/>
      <c r="BH101" s="1"/>
      <c r="BI101" s="1"/>
      <c r="BJ101" s="1"/>
      <c r="BK101" s="1"/>
      <c r="BL101" s="1"/>
      <c r="BM101" s="1">
        <v>39555.25</v>
      </c>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row>
    <row r="102" spans="1:216" x14ac:dyDescent="0.3">
      <c r="A102" s="3" t="str">
        <f>HYPERLINK("https://hpr-rps.hres.ca/reg-content/summary-basis-decision-detailOne.php?lang=en&amp;linkID=SBD00101", "Nexavar ®")</f>
        <v>Nexavar ®</v>
      </c>
      <c r="B102" s="1" t="s">
        <v>337</v>
      </c>
      <c r="C102" s="1" t="s">
        <v>338</v>
      </c>
      <c r="D102" s="1" t="s">
        <v>339</v>
      </c>
      <c r="E102" s="1">
        <v>38615.25</v>
      </c>
      <c r="F102" s="1"/>
      <c r="G102" s="1">
        <v>38658.25</v>
      </c>
      <c r="H102" s="1">
        <v>38660.25</v>
      </c>
      <c r="I102" s="1"/>
      <c r="J102" s="1"/>
      <c r="K102" s="1"/>
      <c r="L102" s="1"/>
      <c r="M102" s="1"/>
      <c r="N102" s="1"/>
      <c r="O102" s="1"/>
      <c r="P102" s="1"/>
      <c r="Q102" s="1"/>
      <c r="R102" s="1"/>
      <c r="S102" s="1"/>
      <c r="T102" s="1"/>
      <c r="U102" s="1"/>
      <c r="V102" s="1"/>
      <c r="W102" s="1"/>
      <c r="X102" s="1"/>
      <c r="Y102" s="1"/>
      <c r="Z102" s="1"/>
      <c r="AA102" s="1"/>
      <c r="AB102" s="1"/>
      <c r="AC102" s="1"/>
      <c r="AD102" s="1"/>
      <c r="AE102" s="1"/>
      <c r="AF102" s="1">
        <v>38699.25</v>
      </c>
      <c r="AG102" s="1"/>
      <c r="AH102" s="1"/>
      <c r="AI102" s="1"/>
      <c r="AJ102" s="1"/>
      <c r="AK102" s="1"/>
      <c r="AL102" s="1"/>
      <c r="AM102" s="1"/>
      <c r="AN102" s="1"/>
      <c r="AO102" s="1"/>
      <c r="AP102" s="1"/>
      <c r="AQ102" s="1"/>
      <c r="AR102" s="1">
        <v>38895.25</v>
      </c>
      <c r="AS102" s="1"/>
      <c r="AT102" s="1"/>
      <c r="AU102" s="1"/>
      <c r="AV102" s="1">
        <v>38891.25</v>
      </c>
      <c r="AW102" s="1"/>
      <c r="AX102" s="1">
        <v>38828.25</v>
      </c>
      <c r="AY102" s="1"/>
      <c r="AZ102" s="1">
        <v>38894.25</v>
      </c>
      <c r="BA102" s="1"/>
      <c r="BB102" s="1"/>
      <c r="BC102" s="1"/>
      <c r="BD102" s="1"/>
      <c r="BE102" s="1"/>
      <c r="BF102" s="1"/>
      <c r="BG102" s="1"/>
      <c r="BH102" s="1"/>
      <c r="BI102" s="1"/>
      <c r="BJ102" s="1"/>
      <c r="BK102" s="1">
        <v>38898.25</v>
      </c>
      <c r="BL102" s="1">
        <v>38926.25</v>
      </c>
      <c r="BM102" s="1"/>
      <c r="BN102" s="1"/>
      <c r="BO102" s="1"/>
      <c r="BP102" s="1"/>
      <c r="BQ102" s="1"/>
      <c r="BR102" s="1"/>
      <c r="BS102" s="1"/>
      <c r="BT102" s="1"/>
      <c r="BU102" s="1"/>
      <c r="BV102" s="1"/>
      <c r="BW102" s="1"/>
      <c r="BX102" s="1"/>
      <c r="BY102" s="1">
        <v>38908.25</v>
      </c>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row>
    <row r="103" spans="1:216" x14ac:dyDescent="0.3">
      <c r="A103" s="3" t="str">
        <f>HYPERLINK("https://hpr-rps.hres.ca/reg-content/summary-basis-decision-detailOne.php?lang=en&amp;linkID=SBD00102", "Nplate TM")</f>
        <v>Nplate TM</v>
      </c>
      <c r="B103" s="1" t="s">
        <v>340</v>
      </c>
      <c r="C103" s="1" t="s">
        <v>286</v>
      </c>
      <c r="D103" s="1" t="s">
        <v>341</v>
      </c>
      <c r="E103" s="1">
        <v>39401.25</v>
      </c>
      <c r="F103" s="1"/>
      <c r="G103" s="1"/>
      <c r="H103" s="1"/>
      <c r="I103" s="1"/>
      <c r="J103" s="1"/>
      <c r="K103" s="1"/>
      <c r="L103" s="1"/>
      <c r="M103" s="1"/>
      <c r="N103" s="1">
        <v>39351.25</v>
      </c>
      <c r="O103" s="1"/>
      <c r="P103" s="1"/>
      <c r="Q103" s="1"/>
      <c r="R103" s="1"/>
      <c r="S103" s="1">
        <v>39381.25</v>
      </c>
      <c r="T103" s="1"/>
      <c r="U103" s="1"/>
      <c r="V103" s="1">
        <v>39402.25</v>
      </c>
      <c r="W103" s="1"/>
      <c r="X103" s="1"/>
      <c r="Y103" s="1"/>
      <c r="Z103" s="1"/>
      <c r="AA103" s="1"/>
      <c r="AB103" s="1"/>
      <c r="AC103" s="1"/>
      <c r="AD103" s="1"/>
      <c r="AE103" s="1"/>
      <c r="AF103" s="1">
        <v>39429.25</v>
      </c>
      <c r="AG103" s="1"/>
      <c r="AH103" s="1"/>
      <c r="AI103" s="1"/>
      <c r="AJ103" s="1"/>
      <c r="AK103" s="1"/>
      <c r="AL103" s="1"/>
      <c r="AM103" s="1"/>
      <c r="AN103" s="1"/>
      <c r="AO103" s="1">
        <v>39461.25</v>
      </c>
      <c r="AP103" s="1"/>
      <c r="AQ103" s="1"/>
      <c r="AR103" s="1"/>
      <c r="AS103" s="1">
        <v>39609.25</v>
      </c>
      <c r="AT103" s="1"/>
      <c r="AU103" s="1"/>
      <c r="AV103" s="1">
        <v>39609.25</v>
      </c>
      <c r="AW103" s="1"/>
      <c r="AX103" s="1">
        <v>39609.25</v>
      </c>
      <c r="AY103" s="1"/>
      <c r="AZ103" s="1">
        <v>39609.25</v>
      </c>
      <c r="BA103" s="1"/>
      <c r="BB103" s="1"/>
      <c r="BC103" s="1"/>
      <c r="BD103" s="1"/>
      <c r="BE103" s="1"/>
      <c r="BF103" s="1"/>
      <c r="BG103" s="1"/>
      <c r="BH103" s="1"/>
      <c r="BI103" s="1"/>
      <c r="BJ103" s="1"/>
      <c r="BK103" s="1"/>
      <c r="BL103" s="1"/>
      <c r="BM103" s="1"/>
      <c r="BN103" s="1"/>
      <c r="BO103" s="1"/>
      <c r="BP103" s="1">
        <v>39609.25</v>
      </c>
      <c r="BQ103" s="1"/>
      <c r="BR103" s="1"/>
      <c r="BS103" s="1"/>
      <c r="BT103" s="1"/>
      <c r="BU103" s="1"/>
      <c r="BV103" s="1"/>
      <c r="BW103" s="1"/>
      <c r="BX103" s="1"/>
      <c r="BY103" s="1">
        <v>39703.25</v>
      </c>
      <c r="BZ103" s="1"/>
      <c r="CA103" s="1"/>
      <c r="CB103" s="1"/>
      <c r="CC103" s="1"/>
      <c r="CD103" s="1"/>
      <c r="CE103" s="1"/>
      <c r="CF103" s="1"/>
      <c r="CG103" s="1"/>
      <c r="CH103" s="1"/>
      <c r="CI103" s="1"/>
      <c r="CJ103" s="1"/>
      <c r="CK103" s="1"/>
      <c r="CL103" s="1"/>
      <c r="CM103" s="1"/>
      <c r="CN103" s="1"/>
      <c r="CO103" s="1"/>
      <c r="CP103" s="1"/>
      <c r="CQ103" s="1"/>
      <c r="CR103" s="1">
        <v>39710.25</v>
      </c>
      <c r="CS103" s="1"/>
      <c r="CT103" s="1"/>
      <c r="CU103" s="1"/>
      <c r="CV103" s="1"/>
      <c r="CW103" s="1"/>
      <c r="CX103" s="1"/>
      <c r="CY103" s="1"/>
      <c r="CZ103" s="1"/>
      <c r="DA103" s="1"/>
      <c r="DB103" s="1"/>
      <c r="DC103" s="1"/>
      <c r="DD103" s="1">
        <v>39862.25</v>
      </c>
      <c r="DE103" s="1">
        <v>39862.25</v>
      </c>
      <c r="DF103" s="1"/>
      <c r="DG103" s="1"/>
      <c r="DH103" s="1">
        <v>39860.25</v>
      </c>
      <c r="DI103" s="1"/>
      <c r="DJ103" s="1">
        <v>39862.25</v>
      </c>
      <c r="DK103" s="1"/>
      <c r="DL103" s="1">
        <v>39862.25</v>
      </c>
      <c r="DM103" s="1"/>
      <c r="DN103" s="1"/>
      <c r="DO103" s="1"/>
      <c r="DP103" s="1"/>
      <c r="DQ103" s="1"/>
      <c r="DR103" s="1"/>
      <c r="DS103" s="1"/>
      <c r="DT103" s="1"/>
      <c r="DU103" s="1"/>
      <c r="DV103" s="1"/>
      <c r="DW103" s="1"/>
      <c r="DX103" s="1"/>
      <c r="DY103" s="1">
        <v>39863.25</v>
      </c>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row>
    <row r="104" spans="1:216" x14ac:dyDescent="0.3">
      <c r="A104" s="3" t="str">
        <f>HYPERLINK("https://hpr-rps.hres.ca/reg-content/summary-basis-decision-detailOne.php?lang=en&amp;linkID=SBD00103", "Nucynta TM")</f>
        <v>Nucynta TM</v>
      </c>
      <c r="B104" s="1" t="s">
        <v>342</v>
      </c>
      <c r="C104" s="1" t="s">
        <v>201</v>
      </c>
      <c r="D104" s="1" t="s">
        <v>343</v>
      </c>
      <c r="E104" s="1">
        <v>39919.25</v>
      </c>
      <c r="F104" s="1"/>
      <c r="G104" s="1"/>
      <c r="H104" s="1">
        <v>40161.25</v>
      </c>
      <c r="I104" s="1"/>
      <c r="J104" s="1"/>
      <c r="K104" s="1"/>
      <c r="L104" s="1"/>
      <c r="M104" s="1"/>
      <c r="N104" s="1"/>
      <c r="O104" s="1"/>
      <c r="P104" s="1"/>
      <c r="Q104" s="1"/>
      <c r="R104" s="1"/>
      <c r="S104" s="1"/>
      <c r="T104" s="1"/>
      <c r="U104" s="1"/>
      <c r="V104" s="1"/>
      <c r="W104" s="1"/>
      <c r="X104" s="1"/>
      <c r="Y104" s="1"/>
      <c r="Z104" s="1"/>
      <c r="AA104" s="1"/>
      <c r="AB104" s="1"/>
      <c r="AC104" s="1"/>
      <c r="AD104" s="1"/>
      <c r="AE104" s="1"/>
      <c r="AF104" s="1">
        <v>40214.25</v>
      </c>
      <c r="AG104" s="1"/>
      <c r="AH104" s="1"/>
      <c r="AI104" s="1"/>
      <c r="AJ104" s="1"/>
      <c r="AK104" s="1"/>
      <c r="AL104" s="1"/>
      <c r="AM104" s="1"/>
      <c r="AN104" s="1"/>
      <c r="AO104" s="1"/>
      <c r="AP104" s="1"/>
      <c r="AQ104" s="1"/>
      <c r="AR104" s="1">
        <v>40513.25</v>
      </c>
      <c r="AS104" s="1">
        <v>40505.25</v>
      </c>
      <c r="AT104" s="1"/>
      <c r="AU104" s="1"/>
      <c r="AV104" s="1">
        <v>40514.25</v>
      </c>
      <c r="AW104" s="1"/>
      <c r="AX104" s="1"/>
      <c r="AY104" s="1"/>
      <c r="AZ104" s="1">
        <v>40514.25</v>
      </c>
      <c r="BA104" s="1"/>
      <c r="BB104" s="1"/>
      <c r="BC104" s="1"/>
      <c r="BD104" s="1"/>
      <c r="BE104" s="1"/>
      <c r="BF104" s="1"/>
      <c r="BG104" s="1"/>
      <c r="BH104" s="1"/>
      <c r="BI104" s="1"/>
      <c r="BJ104" s="1"/>
      <c r="BK104" s="1"/>
      <c r="BL104" s="1"/>
      <c r="BM104" s="1">
        <v>40514.25</v>
      </c>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row>
    <row r="105" spans="1:216" x14ac:dyDescent="0.3">
      <c r="A105" s="3" t="str">
        <f>HYPERLINK("https://hpr-rps.hres.ca/reg-content/summary-basis-decision-detailOne.php?lang=en&amp;linkID=SBD00104", "Olmetec ®")</f>
        <v>Olmetec ®</v>
      </c>
      <c r="B105" s="1" t="s">
        <v>344</v>
      </c>
      <c r="C105" s="1" t="s">
        <v>345</v>
      </c>
      <c r="D105" s="1" t="s">
        <v>346</v>
      </c>
      <c r="E105" s="1"/>
      <c r="F105" s="1"/>
      <c r="G105" s="1"/>
      <c r="H105" s="1">
        <v>39297.25</v>
      </c>
      <c r="I105" s="1"/>
      <c r="J105" s="1"/>
      <c r="K105" s="1"/>
      <c r="L105" s="1"/>
      <c r="M105" s="1"/>
      <c r="N105" s="1"/>
      <c r="O105" s="1"/>
      <c r="P105" s="1"/>
      <c r="Q105" s="1"/>
      <c r="R105" s="1"/>
      <c r="S105" s="1"/>
      <c r="T105" s="1"/>
      <c r="U105" s="1"/>
      <c r="V105" s="1"/>
      <c r="W105" s="1"/>
      <c r="X105" s="1"/>
      <c r="Y105" s="1"/>
      <c r="Z105" s="1">
        <v>39351.25</v>
      </c>
      <c r="AA105" s="1"/>
      <c r="AB105" s="1"/>
      <c r="AC105" s="1">
        <v>39395.25</v>
      </c>
      <c r="AD105" s="1"/>
      <c r="AE105" s="1"/>
      <c r="AF105" s="1">
        <v>39449.25</v>
      </c>
      <c r="AG105" s="1"/>
      <c r="AH105" s="1"/>
      <c r="AI105" s="1"/>
      <c r="AJ105" s="1"/>
      <c r="AK105" s="1"/>
      <c r="AL105" s="1"/>
      <c r="AM105" s="1"/>
      <c r="AN105" s="1"/>
      <c r="AO105" s="1"/>
      <c r="AP105" s="1"/>
      <c r="AQ105" s="1"/>
      <c r="AR105" s="1">
        <v>39748.208333333343</v>
      </c>
      <c r="AS105" s="1">
        <v>39737.25</v>
      </c>
      <c r="AT105" s="1"/>
      <c r="AU105" s="1"/>
      <c r="AV105" s="1">
        <v>39748.208333333343</v>
      </c>
      <c r="AW105" s="1"/>
      <c r="AX105" s="1"/>
      <c r="AY105" s="1"/>
      <c r="AZ105" s="1">
        <v>39735.25</v>
      </c>
      <c r="BA105" s="1"/>
      <c r="BB105" s="1"/>
      <c r="BC105" s="1"/>
      <c r="BD105" s="1"/>
      <c r="BE105" s="1"/>
      <c r="BF105" s="1"/>
      <c r="BG105" s="1"/>
      <c r="BH105" s="1"/>
      <c r="BI105" s="1"/>
      <c r="BJ105" s="1"/>
      <c r="BK105" s="1"/>
      <c r="BL105" s="1"/>
      <c r="BM105" s="1">
        <v>39749.208333333343</v>
      </c>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row>
    <row r="106" spans="1:216" x14ac:dyDescent="0.3">
      <c r="A106" s="3" t="str">
        <f>HYPERLINK("https://hpr-rps.hres.ca/reg-content/summary-basis-decision-detailOne.php?lang=en&amp;linkID=SBD00105", "Omnitrope TM")</f>
        <v>Omnitrope TM</v>
      </c>
      <c r="B106" s="1" t="s">
        <v>347</v>
      </c>
      <c r="C106" s="1" t="s">
        <v>348</v>
      </c>
      <c r="D106" s="1" t="s">
        <v>349</v>
      </c>
      <c r="E106" s="1">
        <v>37602.25</v>
      </c>
      <c r="F106" s="1"/>
      <c r="G106" s="1"/>
      <c r="H106" s="1">
        <v>39175.25</v>
      </c>
      <c r="I106" s="1"/>
      <c r="J106" s="1"/>
      <c r="K106" s="1"/>
      <c r="L106" s="1"/>
      <c r="M106" s="1"/>
      <c r="N106" s="1"/>
      <c r="O106" s="1"/>
      <c r="P106" s="1"/>
      <c r="Q106" s="1"/>
      <c r="R106" s="1"/>
      <c r="S106" s="1"/>
      <c r="T106" s="1"/>
      <c r="U106" s="1"/>
      <c r="V106" s="1"/>
      <c r="W106" s="1"/>
      <c r="X106" s="1"/>
      <c r="Y106" s="1"/>
      <c r="Z106" s="1"/>
      <c r="AA106" s="1"/>
      <c r="AB106" s="1"/>
      <c r="AC106" s="1"/>
      <c r="AD106" s="1"/>
      <c r="AE106" s="1"/>
      <c r="AF106" s="1">
        <v>39230.25</v>
      </c>
      <c r="AG106" s="1"/>
      <c r="AH106" s="1"/>
      <c r="AI106" s="1"/>
      <c r="AJ106" s="1"/>
      <c r="AK106" s="1"/>
      <c r="AL106" s="1"/>
      <c r="AM106" s="1"/>
      <c r="AN106" s="1"/>
      <c r="AO106" s="1">
        <v>39468.25</v>
      </c>
      <c r="AP106" s="1"/>
      <c r="AQ106" s="1"/>
      <c r="AR106" s="1"/>
      <c r="AS106" s="1">
        <v>39525.208333333343</v>
      </c>
      <c r="AT106" s="1"/>
      <c r="AU106" s="1"/>
      <c r="AV106" s="1">
        <v>39514.25</v>
      </c>
      <c r="AW106" s="1"/>
      <c r="AX106" s="1">
        <v>39525.208333333343</v>
      </c>
      <c r="AY106" s="1"/>
      <c r="AZ106" s="1">
        <v>39525.208333333343</v>
      </c>
      <c r="BA106" s="1"/>
      <c r="BB106" s="1"/>
      <c r="BC106" s="1"/>
      <c r="BD106" s="1"/>
      <c r="BE106" s="1"/>
      <c r="BF106" s="1"/>
      <c r="BG106" s="1"/>
      <c r="BH106" s="1"/>
      <c r="BI106" s="1"/>
      <c r="BJ106" s="1"/>
      <c r="BK106" s="1"/>
      <c r="BL106" s="1"/>
      <c r="BM106" s="1"/>
      <c r="BN106" s="1"/>
      <c r="BO106" s="1"/>
      <c r="BP106" s="1">
        <v>39526.208333333343</v>
      </c>
      <c r="BQ106" s="1"/>
      <c r="BR106" s="1"/>
      <c r="BS106" s="1"/>
      <c r="BT106" s="1"/>
      <c r="BU106" s="1"/>
      <c r="BV106" s="1"/>
      <c r="BW106" s="1"/>
      <c r="BX106" s="1"/>
      <c r="BY106" s="1">
        <v>39609.25</v>
      </c>
      <c r="BZ106" s="1"/>
      <c r="CA106" s="1"/>
      <c r="CB106" s="1"/>
      <c r="CC106" s="1"/>
      <c r="CD106" s="1"/>
      <c r="CE106" s="1"/>
      <c r="CF106" s="1"/>
      <c r="CG106" s="1"/>
      <c r="CH106" s="1"/>
      <c r="CI106" s="1"/>
      <c r="CJ106" s="1"/>
      <c r="CK106" s="1"/>
      <c r="CL106" s="1"/>
      <c r="CM106" s="1"/>
      <c r="CN106" s="1"/>
      <c r="CO106" s="1"/>
      <c r="CP106" s="1"/>
      <c r="CQ106" s="1"/>
      <c r="CR106" s="1">
        <v>39623.25</v>
      </c>
      <c r="CS106" s="1"/>
      <c r="CT106" s="1"/>
      <c r="CU106" s="1"/>
      <c r="CV106" s="1"/>
      <c r="CW106" s="1"/>
      <c r="CX106" s="1"/>
      <c r="CY106" s="1"/>
      <c r="CZ106" s="1"/>
      <c r="DA106" s="1"/>
      <c r="DB106" s="1"/>
      <c r="DC106" s="1"/>
      <c r="DD106" s="1">
        <v>39898.208333333343</v>
      </c>
      <c r="DE106" s="1">
        <v>39923.25</v>
      </c>
      <c r="DF106" s="1"/>
      <c r="DG106" s="1"/>
      <c r="DH106" s="1">
        <v>39923.25</v>
      </c>
      <c r="DI106" s="1"/>
      <c r="DJ106" s="1">
        <v>39923.25</v>
      </c>
      <c r="DK106" s="1"/>
      <c r="DL106" s="1">
        <v>39923.25</v>
      </c>
      <c r="DM106" s="1"/>
      <c r="DN106" s="1"/>
      <c r="DO106" s="1"/>
      <c r="DP106" s="1"/>
      <c r="DQ106" s="1"/>
      <c r="DR106" s="1"/>
      <c r="DS106" s="1"/>
      <c r="DT106" s="1"/>
      <c r="DU106" s="1"/>
      <c r="DV106" s="1"/>
      <c r="DW106" s="1"/>
      <c r="DX106" s="1"/>
      <c r="DY106" s="1">
        <v>39923.25</v>
      </c>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row>
    <row r="107" spans="1:216" x14ac:dyDescent="0.3">
      <c r="A107" s="3" t="str">
        <f>HYPERLINK("https://hpr-rps.hres.ca/reg-content/summary-basis-decision-detailOne.php?lang=en&amp;linkID=SBD00106", "Onbrez Breezhaler")</f>
        <v>Onbrez Breezhaler</v>
      </c>
      <c r="B107" s="1" t="s">
        <v>350</v>
      </c>
      <c r="C107" s="1" t="s">
        <v>87</v>
      </c>
      <c r="D107" s="1" t="s">
        <v>351</v>
      </c>
      <c r="E107" s="1">
        <v>39638.25</v>
      </c>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v>39891.208333333343</v>
      </c>
      <c r="AG107" s="1"/>
      <c r="AH107" s="1"/>
      <c r="AI107" s="1"/>
      <c r="AJ107" s="1"/>
      <c r="AK107" s="1"/>
      <c r="AL107" s="1"/>
      <c r="AM107" s="1"/>
      <c r="AN107" s="1"/>
      <c r="AO107" s="1"/>
      <c r="AP107" s="1"/>
      <c r="AQ107" s="1"/>
      <c r="AR107" s="1"/>
      <c r="AS107" s="1"/>
      <c r="AT107" s="1"/>
      <c r="AU107" s="1"/>
      <c r="AV107" s="1">
        <v>40186.25</v>
      </c>
      <c r="AW107" s="1"/>
      <c r="AX107" s="1">
        <v>40170.25</v>
      </c>
      <c r="AY107" s="1"/>
      <c r="AZ107" s="1">
        <v>40189.25</v>
      </c>
      <c r="BA107" s="1"/>
      <c r="BB107" s="1"/>
      <c r="BC107" s="1"/>
      <c r="BD107" s="1"/>
      <c r="BE107" s="1"/>
      <c r="BF107" s="1"/>
      <c r="BG107" s="1"/>
      <c r="BH107" s="1"/>
      <c r="BI107" s="1"/>
      <c r="BJ107" s="1"/>
      <c r="BK107" s="1"/>
      <c r="BL107" s="1"/>
      <c r="BM107" s="1"/>
      <c r="BN107" s="1"/>
      <c r="BO107" s="1"/>
      <c r="BP107" s="1"/>
      <c r="BQ107" s="1"/>
      <c r="BR107" s="1"/>
      <c r="BS107" s="1"/>
      <c r="BT107" s="1">
        <v>40191.25</v>
      </c>
      <c r="BU107" s="1"/>
      <c r="BV107" s="1"/>
      <c r="BW107" s="1"/>
      <c r="BX107" s="1"/>
      <c r="BY107" s="1"/>
      <c r="BZ107" s="1"/>
      <c r="CA107" s="1"/>
      <c r="CB107" s="1"/>
      <c r="CC107" s="1"/>
      <c r="CD107" s="1"/>
      <c r="CE107" s="1"/>
      <c r="CF107" s="1"/>
      <c r="CG107" s="1"/>
      <c r="CH107" s="1">
        <v>40280.25</v>
      </c>
      <c r="CI107" s="1"/>
      <c r="CJ107" s="1"/>
      <c r="CK107" s="1"/>
      <c r="CL107" s="1"/>
      <c r="CM107" s="1"/>
      <c r="CN107" s="1"/>
      <c r="CO107" s="1"/>
      <c r="CP107" s="1"/>
      <c r="CQ107" s="1"/>
      <c r="CR107" s="1">
        <v>40585.25</v>
      </c>
      <c r="CS107" s="1"/>
      <c r="CT107" s="1"/>
      <c r="CU107" s="1"/>
      <c r="CV107" s="1"/>
      <c r="CW107" s="1"/>
      <c r="CX107" s="1"/>
      <c r="CY107" s="1"/>
      <c r="CZ107" s="1"/>
      <c r="DA107" s="1"/>
      <c r="DB107" s="1"/>
      <c r="DC107" s="1"/>
      <c r="DD107" s="1">
        <v>40876.25</v>
      </c>
      <c r="DE107" s="1"/>
      <c r="DF107" s="1"/>
      <c r="DG107" s="1"/>
      <c r="DH107" s="1">
        <v>40877.25</v>
      </c>
      <c r="DI107" s="1"/>
      <c r="DJ107" s="1">
        <v>40731.25</v>
      </c>
      <c r="DK107" s="1"/>
      <c r="DL107" s="1">
        <v>40879.25</v>
      </c>
      <c r="DM107" s="1"/>
      <c r="DN107" s="1"/>
      <c r="DO107" s="1"/>
      <c r="DP107" s="1"/>
      <c r="DQ107" s="1"/>
      <c r="DR107" s="1"/>
      <c r="DS107" s="1"/>
      <c r="DT107" s="1"/>
      <c r="DU107" s="1"/>
      <c r="DV107" s="1"/>
      <c r="DW107" s="1"/>
      <c r="DX107" s="1"/>
      <c r="DY107" s="1">
        <v>40883.25</v>
      </c>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row>
    <row r="108" spans="1:216" x14ac:dyDescent="0.3">
      <c r="A108" s="3" t="str">
        <f>HYPERLINK("https://hpr-rps.hres.ca/reg-content/summary-basis-decision-detailOne.php?lang=en&amp;linkID=SBD00107", "Onglyza TM")</f>
        <v>Onglyza TM</v>
      </c>
      <c r="B108" s="1" t="s">
        <v>352</v>
      </c>
      <c r="C108" s="1" t="s">
        <v>81</v>
      </c>
      <c r="D108" s="1" t="s">
        <v>353</v>
      </c>
      <c r="E108" s="1">
        <v>38880.25</v>
      </c>
      <c r="F108" s="1">
        <v>39583.25</v>
      </c>
      <c r="G108" s="1"/>
      <c r="H108" s="1">
        <v>39660.25</v>
      </c>
      <c r="I108" s="1"/>
      <c r="J108" s="1"/>
      <c r="K108" s="1"/>
      <c r="L108" s="1"/>
      <c r="M108" s="1"/>
      <c r="N108" s="1"/>
      <c r="O108" s="1"/>
      <c r="P108" s="1"/>
      <c r="Q108" s="1"/>
      <c r="R108" s="1"/>
      <c r="S108" s="1"/>
      <c r="T108" s="1"/>
      <c r="U108" s="1"/>
      <c r="V108" s="1"/>
      <c r="W108" s="1"/>
      <c r="X108" s="1"/>
      <c r="Y108" s="1"/>
      <c r="Z108" s="1">
        <v>39710.25</v>
      </c>
      <c r="AA108" s="1"/>
      <c r="AB108" s="1"/>
      <c r="AC108" s="1">
        <v>39727.25</v>
      </c>
      <c r="AD108" s="1"/>
      <c r="AE108" s="1"/>
      <c r="AF108" s="1">
        <v>39770.25</v>
      </c>
      <c r="AG108" s="1"/>
      <c r="AH108" s="1"/>
      <c r="AI108" s="1"/>
      <c r="AJ108" s="1"/>
      <c r="AK108" s="1"/>
      <c r="AL108" s="1"/>
      <c r="AM108" s="1"/>
      <c r="AN108" s="1"/>
      <c r="AO108" s="1"/>
      <c r="AP108" s="1"/>
      <c r="AQ108" s="1"/>
      <c r="AR108" s="1">
        <v>40070.25</v>
      </c>
      <c r="AS108" s="1"/>
      <c r="AT108" s="1"/>
      <c r="AU108" s="1"/>
      <c r="AV108" s="1">
        <v>40070.25</v>
      </c>
      <c r="AW108" s="1"/>
      <c r="AX108" s="1">
        <v>40052.25</v>
      </c>
      <c r="AY108" s="1"/>
      <c r="AZ108" s="1">
        <v>40067.25</v>
      </c>
      <c r="BA108" s="1"/>
      <c r="BB108" s="1"/>
      <c r="BC108" s="1"/>
      <c r="BD108" s="1"/>
      <c r="BE108" s="1"/>
      <c r="BF108" s="1"/>
      <c r="BG108" s="1"/>
      <c r="BH108" s="1"/>
      <c r="BI108" s="1"/>
      <c r="BJ108" s="1"/>
      <c r="BK108" s="1"/>
      <c r="BL108" s="1"/>
      <c r="BM108" s="1">
        <v>40070.25</v>
      </c>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row>
    <row r="109" spans="1:216" x14ac:dyDescent="0.3">
      <c r="A109" s="3" t="str">
        <f>HYPERLINK("https://hpr-rps.hres.ca/reg-content/summary-basis-decision-detailOne.php?lang=en&amp;linkID=SBD00109", "Pantoloc M TM")</f>
        <v>Pantoloc M TM</v>
      </c>
      <c r="B109" s="1" t="s">
        <v>354</v>
      </c>
      <c r="C109" s="1" t="s">
        <v>99</v>
      </c>
      <c r="D109" s="1" t="s">
        <v>355</v>
      </c>
      <c r="E109" s="1">
        <v>37831.25</v>
      </c>
      <c r="F109" s="1"/>
      <c r="G109" s="1"/>
      <c r="H109" s="1">
        <v>38111.25</v>
      </c>
      <c r="I109" s="1"/>
      <c r="J109" s="1"/>
      <c r="K109" s="1"/>
      <c r="L109" s="1"/>
      <c r="M109" s="1"/>
      <c r="N109" s="1"/>
      <c r="O109" s="1"/>
      <c r="P109" s="1"/>
      <c r="Q109" s="1"/>
      <c r="R109" s="1"/>
      <c r="S109" s="1"/>
      <c r="T109" s="1"/>
      <c r="U109" s="1"/>
      <c r="V109" s="1"/>
      <c r="W109" s="1"/>
      <c r="X109" s="1"/>
      <c r="Y109" s="1"/>
      <c r="Z109" s="1"/>
      <c r="AA109" s="1"/>
      <c r="AB109" s="1"/>
      <c r="AC109" s="1"/>
      <c r="AD109" s="1"/>
      <c r="AE109" s="1"/>
      <c r="AF109" s="1">
        <v>38166.25</v>
      </c>
      <c r="AG109" s="1"/>
      <c r="AH109" s="1"/>
      <c r="AI109" s="1"/>
      <c r="AJ109" s="1"/>
      <c r="AK109" s="1"/>
      <c r="AL109" s="1"/>
      <c r="AM109" s="1"/>
      <c r="AN109" s="1"/>
      <c r="AO109" s="1"/>
      <c r="AP109" s="1"/>
      <c r="AQ109" s="1"/>
      <c r="AR109" s="1">
        <v>38464.25</v>
      </c>
      <c r="AS109" s="1"/>
      <c r="AT109" s="1"/>
      <c r="AU109" s="1"/>
      <c r="AV109" s="1">
        <v>38442.291666666657</v>
      </c>
      <c r="AW109" s="1"/>
      <c r="AX109" s="1"/>
      <c r="AY109" s="1"/>
      <c r="AZ109" s="1">
        <v>38445.291666666657</v>
      </c>
      <c r="BA109" s="1"/>
      <c r="BB109" s="1"/>
      <c r="BC109" s="1"/>
      <c r="BD109" s="1"/>
      <c r="BE109" s="1"/>
      <c r="BF109" s="1"/>
      <c r="BG109" s="1"/>
      <c r="BH109" s="1"/>
      <c r="BI109" s="1"/>
      <c r="BJ109" s="1"/>
      <c r="BK109" s="1"/>
      <c r="BL109" s="1"/>
      <c r="BM109" s="1">
        <v>38464.25</v>
      </c>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row>
    <row r="110" spans="1:216" x14ac:dyDescent="0.3">
      <c r="A110" s="3" t="str">
        <f>HYPERLINK("https://hpr-rps.hres.ca/reg-content/summary-basis-decision-detailOne.php?lang=en&amp;linkID=SBD00110", "Posanol TM")</f>
        <v>Posanol TM</v>
      </c>
      <c r="B110" s="1" t="s">
        <v>356</v>
      </c>
      <c r="C110" s="1" t="s">
        <v>345</v>
      </c>
      <c r="D110" s="1" t="s">
        <v>357</v>
      </c>
      <c r="E110" s="1">
        <v>38875.25</v>
      </c>
      <c r="F110" s="1"/>
      <c r="G110" s="1"/>
      <c r="H110" s="1"/>
      <c r="I110" s="1"/>
      <c r="J110" s="1"/>
      <c r="K110" s="1"/>
      <c r="L110" s="1"/>
      <c r="M110" s="1"/>
      <c r="N110" s="1">
        <v>38897.25</v>
      </c>
      <c r="O110" s="1"/>
      <c r="P110" s="1"/>
      <c r="Q110" s="1"/>
      <c r="R110" s="1"/>
      <c r="S110" s="1">
        <v>38932.25</v>
      </c>
      <c r="T110" s="1"/>
      <c r="U110" s="1"/>
      <c r="V110" s="1">
        <v>38960.25</v>
      </c>
      <c r="W110" s="1"/>
      <c r="X110" s="1"/>
      <c r="Y110" s="1"/>
      <c r="Z110" s="1"/>
      <c r="AA110" s="1"/>
      <c r="AB110" s="1"/>
      <c r="AC110" s="1"/>
      <c r="AD110" s="1"/>
      <c r="AE110" s="1"/>
      <c r="AF110" s="1">
        <v>38988.25</v>
      </c>
      <c r="AG110" s="1"/>
      <c r="AH110" s="1"/>
      <c r="AI110" s="1"/>
      <c r="AJ110" s="1"/>
      <c r="AK110" s="1"/>
      <c r="AL110" s="1"/>
      <c r="AM110" s="1"/>
      <c r="AN110" s="1"/>
      <c r="AO110" s="1"/>
      <c r="AP110" s="1"/>
      <c r="AQ110" s="1"/>
      <c r="AR110" s="1">
        <v>39162.208333333343</v>
      </c>
      <c r="AS110" s="1"/>
      <c r="AT110" s="1"/>
      <c r="AU110" s="1"/>
      <c r="AV110" s="1">
        <v>39161.208333333343</v>
      </c>
      <c r="AW110" s="1"/>
      <c r="AX110" s="1"/>
      <c r="AY110" s="1"/>
      <c r="AZ110" s="1">
        <v>39150.25</v>
      </c>
      <c r="BA110" s="1"/>
      <c r="BB110" s="1"/>
      <c r="BC110" s="1"/>
      <c r="BD110" s="1"/>
      <c r="BE110" s="1"/>
      <c r="BF110" s="1"/>
      <c r="BG110" s="1"/>
      <c r="BH110" s="1"/>
      <c r="BI110" s="1"/>
      <c r="BJ110" s="1"/>
      <c r="BK110" s="1"/>
      <c r="BL110" s="1"/>
      <c r="BM110" s="1">
        <v>39167.25</v>
      </c>
      <c r="BN110" s="1"/>
      <c r="BO110" s="1"/>
      <c r="BP110" s="1"/>
      <c r="BQ110" s="1">
        <v>39611.25</v>
      </c>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row>
    <row r="111" spans="1:216" x14ac:dyDescent="0.3">
      <c r="A111" s="3" t="str">
        <f>HYPERLINK("https://hpr-rps.hres.ca/reg-content/summary-basis-decision-detailOne.php?lang=en&amp;linkID=SBD00111", "Pradax TM")</f>
        <v>Pradax TM</v>
      </c>
      <c r="B111" s="1" t="s">
        <v>358</v>
      </c>
      <c r="C111" s="1" t="s">
        <v>359</v>
      </c>
      <c r="D111" s="1" t="s">
        <v>360</v>
      </c>
      <c r="E111" s="1">
        <v>39238.25</v>
      </c>
      <c r="F111" s="1"/>
      <c r="G111" s="1"/>
      <c r="H111" s="1">
        <v>39252.25</v>
      </c>
      <c r="I111" s="1"/>
      <c r="J111" s="1"/>
      <c r="K111" s="1"/>
      <c r="L111" s="1"/>
      <c r="M111" s="1"/>
      <c r="N111" s="1"/>
      <c r="O111" s="1"/>
      <c r="P111" s="1"/>
      <c r="Q111" s="1"/>
      <c r="R111" s="1"/>
      <c r="S111" s="1"/>
      <c r="T111" s="1"/>
      <c r="U111" s="1"/>
      <c r="V111" s="1"/>
      <c r="W111" s="1"/>
      <c r="X111" s="1"/>
      <c r="Y111" s="1"/>
      <c r="Z111" s="1">
        <v>39295.25</v>
      </c>
      <c r="AA111" s="1"/>
      <c r="AB111" s="1"/>
      <c r="AC111" s="1">
        <v>39304.25</v>
      </c>
      <c r="AD111" s="1"/>
      <c r="AE111" s="1"/>
      <c r="AF111" s="1">
        <v>39310.25</v>
      </c>
      <c r="AG111" s="1"/>
      <c r="AH111" s="1"/>
      <c r="AI111" s="1"/>
      <c r="AJ111" s="1"/>
      <c r="AK111" s="1"/>
      <c r="AL111" s="1"/>
      <c r="AM111" s="1"/>
      <c r="AN111" s="1"/>
      <c r="AO111" s="1"/>
      <c r="AP111" s="1"/>
      <c r="AQ111" s="1"/>
      <c r="AR111" s="1">
        <v>39596.25</v>
      </c>
      <c r="AS111" s="1">
        <v>39458.25</v>
      </c>
      <c r="AT111" s="1"/>
      <c r="AU111" s="1"/>
      <c r="AV111" s="1">
        <v>39608.25</v>
      </c>
      <c r="AW111" s="1"/>
      <c r="AX111" s="1"/>
      <c r="AY111" s="1"/>
      <c r="AZ111" s="1">
        <v>39609.25</v>
      </c>
      <c r="BA111" s="1"/>
      <c r="BB111" s="1"/>
      <c r="BC111" s="1"/>
      <c r="BD111" s="1"/>
      <c r="BE111" s="1"/>
      <c r="BF111" s="1"/>
      <c r="BG111" s="1"/>
      <c r="BH111" s="1"/>
      <c r="BI111" s="1"/>
      <c r="BJ111" s="1"/>
      <c r="BK111" s="1"/>
      <c r="BL111" s="1"/>
      <c r="BM111" s="1">
        <v>39609.25</v>
      </c>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row>
    <row r="112" spans="1:216" x14ac:dyDescent="0.3">
      <c r="A112" s="3" t="str">
        <f>HYPERLINK("https://hpr-rps.hres.ca/reg-content/summary-basis-decision-detailOne.php?lang=en&amp;linkID=SBD00112", "Precedex TM")</f>
        <v>Precedex TM</v>
      </c>
      <c r="B112" s="1" t="s">
        <v>361</v>
      </c>
      <c r="C112" s="1" t="s">
        <v>362</v>
      </c>
      <c r="D112" s="1" t="s">
        <v>363</v>
      </c>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v>36321.25</v>
      </c>
      <c r="AG112" s="1"/>
      <c r="AH112" s="1"/>
      <c r="AI112" s="1"/>
      <c r="AJ112" s="1"/>
      <c r="AK112" s="1"/>
      <c r="AL112" s="1"/>
      <c r="AM112" s="1"/>
      <c r="AN112" s="1"/>
      <c r="AO112" s="1"/>
      <c r="AP112" s="1"/>
      <c r="AQ112" s="1"/>
      <c r="AR112" s="1"/>
      <c r="AS112" s="1"/>
      <c r="AT112" s="1"/>
      <c r="AU112" s="1"/>
      <c r="AV112" s="1">
        <v>36689.25</v>
      </c>
      <c r="AW112" s="1"/>
      <c r="AX112" s="1"/>
      <c r="AY112" s="1"/>
      <c r="AZ112" s="1"/>
      <c r="BA112" s="1"/>
      <c r="BB112" s="1"/>
      <c r="BC112" s="1"/>
      <c r="BD112" s="1"/>
      <c r="BE112" s="1"/>
      <c r="BF112" s="1"/>
      <c r="BG112" s="1"/>
      <c r="BH112" s="1"/>
      <c r="BI112" s="1"/>
      <c r="BJ112" s="1"/>
      <c r="BK112" s="1"/>
      <c r="BL112" s="1"/>
      <c r="BM112" s="1"/>
      <c r="BN112" s="1"/>
      <c r="BO112" s="1"/>
      <c r="BP112" s="1">
        <v>36770.25</v>
      </c>
      <c r="BQ112" s="1"/>
      <c r="BR112" s="1"/>
      <c r="BS112" s="1"/>
      <c r="BT112" s="1"/>
      <c r="BU112" s="1"/>
      <c r="BV112" s="1"/>
      <c r="BW112" s="1"/>
      <c r="BX112" s="1"/>
      <c r="BY112" s="1">
        <v>36861.25</v>
      </c>
      <c r="BZ112" s="1"/>
      <c r="CA112" s="1"/>
      <c r="CB112" s="1"/>
      <c r="CC112" s="1"/>
      <c r="CD112" s="1"/>
      <c r="CE112" s="1"/>
      <c r="CF112" s="1">
        <v>36952.25</v>
      </c>
      <c r="CG112" s="1"/>
      <c r="CH112" s="1"/>
      <c r="CI112" s="1"/>
      <c r="CJ112" s="1"/>
      <c r="CK112" s="1"/>
      <c r="CL112" s="1"/>
      <c r="CM112" s="1"/>
      <c r="CN112" s="1"/>
      <c r="CO112" s="1"/>
      <c r="CP112" s="1"/>
      <c r="CQ112" s="1"/>
      <c r="CR112" s="1">
        <v>39856.25</v>
      </c>
      <c r="CS112" s="1"/>
      <c r="CT112" s="1"/>
      <c r="CU112" s="1"/>
      <c r="CV112" s="1"/>
      <c r="CW112" s="1"/>
      <c r="CX112" s="1"/>
      <c r="CY112" s="1"/>
      <c r="CZ112" s="1"/>
      <c r="DA112" s="1"/>
      <c r="DB112" s="1"/>
      <c r="DC112" s="1"/>
      <c r="DD112" s="1">
        <v>40156.25</v>
      </c>
      <c r="DE112" s="1"/>
      <c r="DF112" s="1"/>
      <c r="DG112" s="1"/>
      <c r="DH112" s="1">
        <v>40156.25</v>
      </c>
      <c r="DI112" s="1"/>
      <c r="DJ112" s="1"/>
      <c r="DK112" s="1"/>
      <c r="DL112" s="1">
        <v>40156.25</v>
      </c>
      <c r="DM112" s="1"/>
      <c r="DN112" s="1"/>
      <c r="DO112" s="1"/>
      <c r="DP112" s="1"/>
      <c r="DQ112" s="1"/>
      <c r="DR112" s="1"/>
      <c r="DS112" s="1"/>
      <c r="DT112" s="1"/>
      <c r="DU112" s="1"/>
      <c r="DV112" s="1"/>
      <c r="DW112" s="1"/>
      <c r="DX112" s="1"/>
      <c r="DY112" s="1">
        <v>40156.25</v>
      </c>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row>
    <row r="113" spans="1:216" x14ac:dyDescent="0.3">
      <c r="A113" s="3" t="str">
        <f>HYPERLINK("https://hpr-rps.hres.ca/reg-content/summary-basis-decision-detailOne.php?lang=en&amp;linkID=SBD00113", "Prevnar ®")</f>
        <v>Prevnar ®</v>
      </c>
      <c r="B113" s="1" t="s">
        <v>364</v>
      </c>
      <c r="C113" s="1" t="s">
        <v>365</v>
      </c>
      <c r="D113" s="1" t="s">
        <v>366</v>
      </c>
      <c r="E113" s="1">
        <v>39478.25</v>
      </c>
      <c r="F113" s="1"/>
      <c r="G113" s="1"/>
      <c r="H113" s="1"/>
      <c r="I113" s="1"/>
      <c r="J113" s="1"/>
      <c r="K113" s="1"/>
      <c r="L113" s="1"/>
      <c r="M113" s="1"/>
      <c r="N113" s="1">
        <v>39841.25</v>
      </c>
      <c r="O113" s="1"/>
      <c r="P113" s="1"/>
      <c r="Q113" s="1"/>
      <c r="R113" s="1"/>
      <c r="S113" s="1">
        <v>39869.25</v>
      </c>
      <c r="T113" s="1"/>
      <c r="U113" s="1"/>
      <c r="V113" s="1">
        <v>39890.208333333343</v>
      </c>
      <c r="W113" s="1"/>
      <c r="X113" s="1"/>
      <c r="Y113" s="1"/>
      <c r="Z113" s="1"/>
      <c r="AA113" s="1"/>
      <c r="AB113" s="1"/>
      <c r="AC113" s="1"/>
      <c r="AD113" s="1"/>
      <c r="AE113" s="1"/>
      <c r="AF113" s="1">
        <v>39920.25</v>
      </c>
      <c r="AG113" s="1"/>
      <c r="AH113" s="1"/>
      <c r="AI113" s="1"/>
      <c r="AJ113" s="1"/>
      <c r="AK113" s="1"/>
      <c r="AL113" s="1"/>
      <c r="AM113" s="1"/>
      <c r="AN113" s="1"/>
      <c r="AO113" s="1">
        <v>40049.25</v>
      </c>
      <c r="AP113" s="1"/>
      <c r="AQ113" s="1"/>
      <c r="AR113" s="1"/>
      <c r="AS113" s="1"/>
      <c r="AT113" s="1"/>
      <c r="AU113" s="1"/>
      <c r="AV113" s="1">
        <v>40164.25</v>
      </c>
      <c r="AW113" s="1"/>
      <c r="AX113" s="1"/>
      <c r="AY113" s="1"/>
      <c r="AZ113" s="1">
        <v>40163.25</v>
      </c>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row>
    <row r="114" spans="1:216" x14ac:dyDescent="0.3">
      <c r="A114" s="3" t="str">
        <f>HYPERLINK("https://hpr-rps.hres.ca/reg-content/summary-basis-decision-detailOne.php?lang=en&amp;linkID=SBD00114", "Prexige")</f>
        <v>Prexige</v>
      </c>
      <c r="B114" s="1" t="s">
        <v>367</v>
      </c>
      <c r="C114" s="1" t="s">
        <v>87</v>
      </c>
      <c r="D114" s="1" t="s">
        <v>368</v>
      </c>
      <c r="E114" s="1"/>
      <c r="F114" s="1"/>
      <c r="G114" s="1"/>
      <c r="H114" s="1"/>
      <c r="I114" s="1"/>
      <c r="J114" s="1"/>
      <c r="K114" s="1"/>
      <c r="L114" s="1"/>
      <c r="M114" s="1"/>
      <c r="N114" s="1"/>
      <c r="O114" s="1"/>
      <c r="P114" s="1"/>
      <c r="Q114" s="1"/>
      <c r="R114" s="1"/>
      <c r="S114" s="1"/>
      <c r="T114" s="1"/>
      <c r="U114" s="1"/>
      <c r="V114" s="1"/>
      <c r="W114" s="1"/>
      <c r="X114" s="1"/>
      <c r="Y114" s="1"/>
      <c r="Z114" s="1">
        <v>37713.291666666657</v>
      </c>
      <c r="AA114" s="1"/>
      <c r="AB114" s="1"/>
      <c r="AC114" s="1">
        <v>37740.25</v>
      </c>
      <c r="AD114" s="1"/>
      <c r="AE114" s="1"/>
      <c r="AF114" s="1">
        <v>37747.25</v>
      </c>
      <c r="AG114" s="1"/>
      <c r="AH114" s="1"/>
      <c r="AI114" s="1"/>
      <c r="AJ114" s="1"/>
      <c r="AK114" s="1"/>
      <c r="AL114" s="1"/>
      <c r="AM114" s="1"/>
      <c r="AN114" s="1"/>
      <c r="AO114" s="1"/>
      <c r="AP114" s="1"/>
      <c r="AQ114" s="1"/>
      <c r="AR114" s="1"/>
      <c r="AS114" s="1">
        <v>38044.25</v>
      </c>
      <c r="AT114" s="1"/>
      <c r="AU114" s="1"/>
      <c r="AV114" s="1">
        <v>37942.25</v>
      </c>
      <c r="AW114" s="1"/>
      <c r="AX114" s="1"/>
      <c r="AY114" s="1"/>
      <c r="AZ114" s="1">
        <v>38042.25</v>
      </c>
      <c r="BA114" s="1"/>
      <c r="BB114" s="1"/>
      <c r="BC114" s="1"/>
      <c r="BD114" s="1"/>
      <c r="BE114" s="1"/>
      <c r="BF114" s="1"/>
      <c r="BG114" s="1"/>
      <c r="BH114" s="1"/>
      <c r="BI114" s="1"/>
      <c r="BJ114" s="1"/>
      <c r="BK114" s="1"/>
      <c r="BL114" s="1"/>
      <c r="BM114" s="1"/>
      <c r="BN114" s="1"/>
      <c r="BO114" s="1"/>
      <c r="BP114" s="1"/>
      <c r="BQ114" s="1"/>
      <c r="BR114" s="1"/>
      <c r="BS114" s="1"/>
      <c r="BT114" s="1">
        <v>38047.25</v>
      </c>
      <c r="BU114" s="1"/>
      <c r="BV114" s="1"/>
      <c r="BW114" s="1"/>
      <c r="BX114" s="1"/>
      <c r="BY114" s="1">
        <v>38139.25</v>
      </c>
      <c r="BZ114" s="1"/>
      <c r="CA114" s="1"/>
      <c r="CB114" s="1"/>
      <c r="CC114" s="1"/>
      <c r="CD114" s="1"/>
      <c r="CE114" s="1"/>
      <c r="CF114" s="1"/>
      <c r="CG114" s="1"/>
      <c r="CH114" s="1"/>
      <c r="CI114" s="1"/>
      <c r="CJ114" s="1"/>
      <c r="CK114" s="1"/>
      <c r="CL114" s="1"/>
      <c r="CM114" s="1"/>
      <c r="CN114" s="1"/>
      <c r="CO114" s="1"/>
      <c r="CP114" s="1"/>
      <c r="CQ114" s="1"/>
      <c r="CR114" s="1">
        <v>38182.25</v>
      </c>
      <c r="CS114" s="1"/>
      <c r="CT114" s="1"/>
      <c r="CU114" s="1"/>
      <c r="CV114" s="1"/>
      <c r="CW114" s="1"/>
      <c r="CX114" s="1"/>
      <c r="CY114" s="1"/>
      <c r="CZ114" s="1">
        <v>38620.25</v>
      </c>
      <c r="DA114" s="1"/>
      <c r="DB114" s="1"/>
      <c r="DC114" s="1"/>
      <c r="DD114" s="1"/>
      <c r="DE114" s="1">
        <v>38191.25</v>
      </c>
      <c r="DF114" s="1"/>
      <c r="DG114" s="1"/>
      <c r="DH114" s="1">
        <v>38261.25</v>
      </c>
      <c r="DI114" s="1"/>
      <c r="DJ114" s="1"/>
      <c r="DK114" s="1"/>
      <c r="DL114" s="1">
        <v>38329.25</v>
      </c>
      <c r="DM114" s="1"/>
      <c r="DN114" s="1"/>
      <c r="DO114" s="1"/>
      <c r="DP114" s="1"/>
      <c r="DQ114" s="1"/>
      <c r="DR114" s="1"/>
      <c r="DS114" s="1"/>
      <c r="DT114" s="1"/>
      <c r="DU114" s="1"/>
      <c r="DV114" s="1"/>
      <c r="DW114" s="1"/>
      <c r="DX114" s="1"/>
      <c r="DY114" s="1"/>
      <c r="DZ114" s="1"/>
      <c r="EA114" s="1"/>
      <c r="EB114" s="1"/>
      <c r="EC114" s="1"/>
      <c r="ED114" s="1"/>
      <c r="EE114" s="1">
        <v>38331.25</v>
      </c>
      <c r="EF114" s="1"/>
      <c r="EG114" s="1"/>
      <c r="EH114" s="1"/>
      <c r="EI114" s="1"/>
      <c r="EJ114" s="1"/>
      <c r="EK114" s="1"/>
      <c r="EL114" s="1"/>
      <c r="EM114" s="1"/>
      <c r="EN114" s="1"/>
      <c r="EO114" s="1">
        <v>38671.25</v>
      </c>
      <c r="EP114" s="1"/>
      <c r="EQ114" s="1"/>
      <c r="ER114" s="1"/>
      <c r="ES114" s="1"/>
      <c r="ET114" s="1"/>
      <c r="EU114" s="1"/>
      <c r="EV114" s="1"/>
      <c r="EW114" s="1"/>
      <c r="EX114" s="1"/>
      <c r="EY114" s="1"/>
      <c r="EZ114" s="1"/>
      <c r="FA114" s="1"/>
      <c r="FB114" s="1"/>
      <c r="FC114" s="1"/>
      <c r="FD114" s="1">
        <v>38723.25</v>
      </c>
      <c r="FE114" s="1"/>
      <c r="FF114" s="1"/>
      <c r="FG114" s="1"/>
      <c r="FH114" s="1"/>
      <c r="FI114" s="1"/>
      <c r="FJ114" s="1"/>
      <c r="FK114" s="1"/>
      <c r="FL114" s="1"/>
      <c r="FM114" s="1"/>
      <c r="FN114" s="1"/>
      <c r="FO114" s="1"/>
      <c r="FP114" s="1">
        <v>39023.25</v>
      </c>
      <c r="FQ114" s="1"/>
      <c r="FR114" s="1"/>
      <c r="FS114" s="1"/>
      <c r="FT114" s="1">
        <v>39017.25</v>
      </c>
      <c r="FU114" s="1"/>
      <c r="FV114" s="1">
        <v>38819.25</v>
      </c>
      <c r="FW114" s="1"/>
      <c r="FX114" s="1">
        <v>39023.25</v>
      </c>
      <c r="FY114" s="1"/>
      <c r="FZ114" s="1"/>
      <c r="GA114" s="1"/>
      <c r="GB114" s="1"/>
      <c r="GC114" s="1"/>
      <c r="GD114" s="1"/>
      <c r="GE114" s="1"/>
      <c r="GF114" s="1"/>
      <c r="GG114" s="1"/>
      <c r="GH114" s="1"/>
      <c r="GI114" s="1"/>
      <c r="GJ114" s="1"/>
      <c r="GK114" s="1">
        <v>39023.25</v>
      </c>
      <c r="GL114" s="1"/>
      <c r="GM114" s="1"/>
      <c r="GN114" s="1"/>
      <c r="GO114" s="1"/>
      <c r="GP114" s="1"/>
      <c r="GQ114" s="1"/>
      <c r="GR114" s="1"/>
      <c r="GS114" s="1"/>
      <c r="GT114" s="1"/>
      <c r="GU114" s="1"/>
      <c r="GV114" s="1"/>
      <c r="GW114" s="1"/>
      <c r="GX114" s="1"/>
      <c r="GY114" s="1"/>
      <c r="GZ114" s="1"/>
      <c r="HA114" s="1"/>
      <c r="HB114" s="1"/>
      <c r="HC114" s="1"/>
      <c r="HD114" s="1"/>
      <c r="HE114" s="1"/>
      <c r="HF114" s="1"/>
      <c r="HG114" s="1"/>
      <c r="HH114" s="1"/>
    </row>
    <row r="115" spans="1:216" x14ac:dyDescent="0.3">
      <c r="A115" s="3" t="str">
        <f>HYPERLINK("https://hpr-rps.hres.ca/reg-content/summary-basis-decision-detailOne.php?lang=en&amp;linkID=SBD00115", "Prezista")</f>
        <v>Prezista</v>
      </c>
      <c r="B115" s="1" t="s">
        <v>369</v>
      </c>
      <c r="C115" s="1" t="s">
        <v>196</v>
      </c>
      <c r="D115" s="1" t="s">
        <v>370</v>
      </c>
      <c r="E115" s="1">
        <v>38644.25</v>
      </c>
      <c r="F115" s="1"/>
      <c r="G115" s="1">
        <v>38676.25</v>
      </c>
      <c r="H115" s="1">
        <v>38709.25</v>
      </c>
      <c r="I115" s="1"/>
      <c r="J115" s="1"/>
      <c r="K115" s="1"/>
      <c r="L115" s="1">
        <v>38706.25</v>
      </c>
      <c r="M115" s="1"/>
      <c r="N115" s="1"/>
      <c r="O115" s="1"/>
      <c r="P115" s="1"/>
      <c r="Q115" s="1"/>
      <c r="R115" s="1"/>
      <c r="S115" s="1"/>
      <c r="T115" s="1"/>
      <c r="U115" s="1"/>
      <c r="V115" s="1"/>
      <c r="W115" s="1"/>
      <c r="X115" s="1"/>
      <c r="Y115" s="1"/>
      <c r="Z115" s="1"/>
      <c r="AA115" s="1"/>
      <c r="AB115" s="1"/>
      <c r="AC115" s="1"/>
      <c r="AD115" s="1"/>
      <c r="AE115" s="1"/>
      <c r="AF115" s="1">
        <v>38751.25</v>
      </c>
      <c r="AG115" s="1"/>
      <c r="AH115" s="1"/>
      <c r="AI115" s="1"/>
      <c r="AJ115" s="1"/>
      <c r="AK115" s="1"/>
      <c r="AL115" s="1"/>
      <c r="AM115" s="1"/>
      <c r="AN115" s="1"/>
      <c r="AO115" s="1"/>
      <c r="AP115" s="1"/>
      <c r="AQ115" s="1"/>
      <c r="AR115" s="1"/>
      <c r="AS115" s="1">
        <v>38917.25</v>
      </c>
      <c r="AT115" s="1"/>
      <c r="AU115" s="1"/>
      <c r="AV115" s="1">
        <v>38915.25</v>
      </c>
      <c r="AW115" s="1"/>
      <c r="AX115" s="1">
        <v>38890.25</v>
      </c>
      <c r="AY115" s="1"/>
      <c r="AZ115" s="1">
        <v>38919.25</v>
      </c>
      <c r="BA115" s="1"/>
      <c r="BB115" s="1"/>
      <c r="BC115" s="1"/>
      <c r="BD115" s="1"/>
      <c r="BE115" s="1"/>
      <c r="BF115" s="1"/>
      <c r="BG115" s="1"/>
      <c r="BH115" s="1"/>
      <c r="BI115" s="1"/>
      <c r="BJ115" s="1"/>
      <c r="BK115" s="1">
        <v>38919.25</v>
      </c>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v>38924.25</v>
      </c>
      <c r="CN115" s="1"/>
      <c r="CO115" s="1"/>
      <c r="CP115" s="1"/>
      <c r="CQ115" s="1"/>
      <c r="CR115" s="1"/>
      <c r="CS115" s="1"/>
      <c r="CT115" s="1"/>
      <c r="CU115" s="1">
        <v>38924.25</v>
      </c>
      <c r="CV115" s="1"/>
      <c r="CW115" s="1"/>
      <c r="CX115" s="1"/>
      <c r="CY115" s="1"/>
      <c r="CZ115" s="1"/>
      <c r="DA115" s="1"/>
      <c r="DB115" s="1"/>
      <c r="DC115" s="1"/>
      <c r="DD115" s="1"/>
      <c r="DE115" s="1"/>
      <c r="DF115" s="1"/>
      <c r="DG115" s="1">
        <v>38926.25</v>
      </c>
      <c r="DH115" s="1"/>
      <c r="DI115" s="1"/>
      <c r="DJ115" s="1"/>
      <c r="DK115" s="1"/>
      <c r="DL115" s="1"/>
      <c r="DM115" s="1"/>
      <c r="DN115" s="1"/>
      <c r="DO115" s="1"/>
      <c r="DP115" s="1"/>
      <c r="DQ115" s="1"/>
      <c r="DR115" s="1"/>
      <c r="DS115" s="1"/>
      <c r="DT115" s="1">
        <v>38923.25</v>
      </c>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row>
    <row r="116" spans="1:216" x14ac:dyDescent="0.3">
      <c r="A116" s="3" t="str">
        <f>HYPERLINK("https://hpr-rps.hres.ca/reg-content/summary-basis-decision-detailOne.php?lang=en&amp;linkID=SBD00116", "Primovist ®")</f>
        <v>Primovist ®</v>
      </c>
      <c r="B116" s="1" t="s">
        <v>371</v>
      </c>
      <c r="C116" s="1" t="s">
        <v>338</v>
      </c>
      <c r="D116" s="1" t="s">
        <v>372</v>
      </c>
      <c r="E116" s="1"/>
      <c r="F116" s="1"/>
      <c r="G116" s="1"/>
      <c r="H116" s="1">
        <v>39846.25</v>
      </c>
      <c r="I116" s="1"/>
      <c r="J116" s="1"/>
      <c r="K116" s="1"/>
      <c r="L116" s="1"/>
      <c r="M116" s="1"/>
      <c r="N116" s="1"/>
      <c r="O116" s="1"/>
      <c r="P116" s="1"/>
      <c r="Q116" s="1"/>
      <c r="R116" s="1"/>
      <c r="S116" s="1"/>
      <c r="T116" s="1"/>
      <c r="U116" s="1"/>
      <c r="V116" s="1"/>
      <c r="W116" s="1"/>
      <c r="X116" s="1"/>
      <c r="Y116" s="1"/>
      <c r="Z116" s="1"/>
      <c r="AA116" s="1"/>
      <c r="AB116" s="1"/>
      <c r="AC116" s="1"/>
      <c r="AD116" s="1"/>
      <c r="AE116" s="1"/>
      <c r="AF116" s="1">
        <v>39892.208333333343</v>
      </c>
      <c r="AG116" s="1"/>
      <c r="AH116" s="1"/>
      <c r="AI116" s="1"/>
      <c r="AJ116" s="1"/>
      <c r="AK116" s="1"/>
      <c r="AL116" s="1"/>
      <c r="AM116" s="1"/>
      <c r="AN116" s="1"/>
      <c r="AO116" s="1"/>
      <c r="AP116" s="1"/>
      <c r="AQ116" s="1"/>
      <c r="AR116" s="1">
        <v>40191.25</v>
      </c>
      <c r="AS116" s="1"/>
      <c r="AT116" s="1"/>
      <c r="AU116" s="1"/>
      <c r="AV116" s="1">
        <v>40190.25</v>
      </c>
      <c r="AW116" s="1"/>
      <c r="AX116" s="1"/>
      <c r="AY116" s="1"/>
      <c r="AZ116" s="1">
        <v>40189.25</v>
      </c>
      <c r="BA116" s="1"/>
      <c r="BB116" s="1"/>
      <c r="BC116" s="1"/>
      <c r="BD116" s="1"/>
      <c r="BE116" s="1"/>
      <c r="BF116" s="1"/>
      <c r="BG116" s="1"/>
      <c r="BH116" s="1"/>
      <c r="BI116" s="1"/>
      <c r="BJ116" s="1"/>
      <c r="BK116" s="1"/>
      <c r="BL116" s="1"/>
      <c r="BM116" s="1">
        <v>40192.25</v>
      </c>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row>
    <row r="117" spans="1:216" x14ac:dyDescent="0.3">
      <c r="A117" s="3" t="str">
        <f>HYPERLINK("https://hpr-rps.hres.ca/reg-content/summary-basis-decision-detailOne.php?lang=en&amp;linkID=SBD00117", "Pristiq TM")</f>
        <v>Pristiq TM</v>
      </c>
      <c r="B117" s="1" t="s">
        <v>373</v>
      </c>
      <c r="C117" s="1" t="s">
        <v>365</v>
      </c>
      <c r="D117" s="1" t="s">
        <v>374</v>
      </c>
      <c r="E117" s="1">
        <v>39252.25</v>
      </c>
      <c r="F117" s="1"/>
      <c r="G117" s="1"/>
      <c r="H117" s="1">
        <v>39371.25</v>
      </c>
      <c r="I117" s="1"/>
      <c r="J117" s="1"/>
      <c r="K117" s="1"/>
      <c r="L117" s="1"/>
      <c r="M117" s="1"/>
      <c r="N117" s="1"/>
      <c r="O117" s="1"/>
      <c r="P117" s="1"/>
      <c r="Q117" s="1"/>
      <c r="R117" s="1"/>
      <c r="S117" s="1"/>
      <c r="T117" s="1"/>
      <c r="U117" s="1"/>
      <c r="V117" s="1"/>
      <c r="W117" s="1"/>
      <c r="X117" s="1"/>
      <c r="Y117" s="1"/>
      <c r="Z117" s="1">
        <v>39435.25</v>
      </c>
      <c r="AA117" s="1"/>
      <c r="AB117" s="1"/>
      <c r="AC117" s="1">
        <v>39462.25</v>
      </c>
      <c r="AD117" s="1"/>
      <c r="AE117" s="1"/>
      <c r="AF117" s="1">
        <v>39507.25</v>
      </c>
      <c r="AG117" s="1"/>
      <c r="AH117" s="1"/>
      <c r="AI117" s="1"/>
      <c r="AJ117" s="1"/>
      <c r="AK117" s="1"/>
      <c r="AL117" s="1"/>
      <c r="AM117" s="1"/>
      <c r="AN117" s="1"/>
      <c r="AO117" s="1"/>
      <c r="AP117" s="1"/>
      <c r="AQ117" s="1"/>
      <c r="AR117" s="1">
        <v>39836.25</v>
      </c>
      <c r="AS117" s="1">
        <v>39799.25</v>
      </c>
      <c r="AT117" s="1"/>
      <c r="AU117" s="1"/>
      <c r="AV117" s="1">
        <v>39836.25</v>
      </c>
      <c r="AW117" s="1"/>
      <c r="AX117" s="1"/>
      <c r="AY117" s="1"/>
      <c r="AZ117" s="1">
        <v>39840.25</v>
      </c>
      <c r="BA117" s="1"/>
      <c r="BB117" s="1"/>
      <c r="BC117" s="1"/>
      <c r="BD117" s="1"/>
      <c r="BE117" s="1"/>
      <c r="BF117" s="1"/>
      <c r="BG117" s="1"/>
      <c r="BH117" s="1"/>
      <c r="BI117" s="1"/>
      <c r="BJ117" s="1"/>
      <c r="BK117" s="1"/>
      <c r="BL117" s="1"/>
      <c r="BM117" s="1">
        <v>39848.25</v>
      </c>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row>
    <row r="118" spans="1:216" x14ac:dyDescent="0.3">
      <c r="A118" s="3" t="str">
        <f>HYPERLINK("https://hpr-rps.hres.ca/reg-content/summary-basis-decision-detailOne.php?lang=en&amp;linkID=SBD00118", "Prochymal")</f>
        <v>Prochymal</v>
      </c>
      <c r="B118" s="1" t="s">
        <v>375</v>
      </c>
      <c r="C118" s="1" t="s">
        <v>376</v>
      </c>
      <c r="D118" s="1" t="s">
        <v>377</v>
      </c>
      <c r="E118" s="1">
        <v>40212.25</v>
      </c>
      <c r="F118" s="1"/>
      <c r="G118" s="1"/>
      <c r="H118" s="1"/>
      <c r="I118" s="1"/>
      <c r="J118" s="1"/>
      <c r="K118" s="1"/>
      <c r="L118" s="1"/>
      <c r="M118" s="1"/>
      <c r="N118" s="1">
        <v>40253.208333333343</v>
      </c>
      <c r="O118" s="1"/>
      <c r="P118" s="1"/>
      <c r="Q118" s="1"/>
      <c r="R118" s="1"/>
      <c r="S118" s="1">
        <v>40281.25</v>
      </c>
      <c r="T118" s="1"/>
      <c r="U118" s="1"/>
      <c r="V118" s="1">
        <v>40344.25</v>
      </c>
      <c r="W118" s="1"/>
      <c r="X118" s="1"/>
      <c r="Y118" s="1"/>
      <c r="Z118" s="1"/>
      <c r="AA118" s="1"/>
      <c r="AB118" s="1"/>
      <c r="AC118" s="1"/>
      <c r="AD118" s="1"/>
      <c r="AE118" s="1"/>
      <c r="AF118" s="1">
        <v>40375.25</v>
      </c>
      <c r="AG118" s="1"/>
      <c r="AH118" s="1"/>
      <c r="AI118" s="1"/>
      <c r="AJ118" s="1"/>
      <c r="AK118" s="1"/>
      <c r="AL118" s="1"/>
      <c r="AM118" s="1"/>
      <c r="AN118" s="1"/>
      <c r="AO118" s="1"/>
      <c r="AP118" s="1"/>
      <c r="AQ118" s="1"/>
      <c r="AR118" s="1"/>
      <c r="AS118" s="1"/>
      <c r="AT118" s="1"/>
      <c r="AU118" s="1"/>
      <c r="AV118" s="1">
        <v>40555.25</v>
      </c>
      <c r="AW118" s="1"/>
      <c r="AX118" s="1"/>
      <c r="AY118" s="1"/>
      <c r="AZ118" s="1">
        <v>40555.25</v>
      </c>
      <c r="BA118" s="1"/>
      <c r="BB118" s="1"/>
      <c r="BC118" s="1"/>
      <c r="BD118" s="1"/>
      <c r="BE118" s="1"/>
      <c r="BF118" s="1"/>
      <c r="BG118" s="1"/>
      <c r="BH118" s="1"/>
      <c r="BI118" s="1"/>
      <c r="BJ118" s="1"/>
      <c r="BK118" s="1"/>
      <c r="BL118" s="1"/>
      <c r="BM118" s="1"/>
      <c r="BN118" s="1"/>
      <c r="BO118" s="1"/>
      <c r="BP118" s="1"/>
      <c r="BQ118" s="1"/>
      <c r="BR118" s="1"/>
      <c r="BS118" s="1"/>
      <c r="BT118" s="1">
        <v>40555.25</v>
      </c>
      <c r="BU118" s="1"/>
      <c r="BV118" s="1"/>
      <c r="BW118" s="1"/>
      <c r="BX118" s="1"/>
      <c r="BY118" s="1">
        <v>40609.25</v>
      </c>
      <c r="BZ118" s="1"/>
      <c r="CA118" s="1"/>
      <c r="CB118" s="1"/>
      <c r="CC118" s="1"/>
      <c r="CD118" s="1"/>
      <c r="CE118" s="1"/>
      <c r="CF118" s="1"/>
      <c r="CG118" s="1"/>
      <c r="CH118" s="1"/>
      <c r="CI118" s="1"/>
      <c r="CJ118" s="1"/>
      <c r="CK118" s="1"/>
      <c r="CL118" s="1"/>
      <c r="CM118" s="1"/>
      <c r="CN118" s="1"/>
      <c r="CO118" s="1"/>
      <c r="CP118" s="1"/>
      <c r="CQ118" s="1"/>
      <c r="CR118" s="1">
        <v>40634.25</v>
      </c>
      <c r="CS118" s="1"/>
      <c r="CT118" s="1"/>
      <c r="CU118" s="1"/>
      <c r="CV118" s="1"/>
      <c r="CW118" s="1"/>
      <c r="CX118" s="1"/>
      <c r="CY118" s="1"/>
      <c r="CZ118" s="1">
        <v>40758.25</v>
      </c>
      <c r="DA118" s="1"/>
      <c r="DB118" s="1"/>
      <c r="DC118" s="1"/>
      <c r="DD118" s="1"/>
      <c r="DE118" s="1"/>
      <c r="DF118" s="1"/>
      <c r="DG118" s="1"/>
      <c r="DH118" s="1">
        <v>40724.25</v>
      </c>
      <c r="DI118" s="1"/>
      <c r="DJ118" s="1"/>
      <c r="DK118" s="1"/>
      <c r="DL118" s="1">
        <v>40724.25</v>
      </c>
      <c r="DM118" s="1"/>
      <c r="DN118" s="1"/>
      <c r="DO118" s="1"/>
      <c r="DP118" s="1"/>
      <c r="DQ118" s="1"/>
      <c r="DR118" s="1"/>
      <c r="DS118" s="1"/>
      <c r="DT118" s="1"/>
      <c r="DU118" s="1"/>
      <c r="DV118" s="1"/>
      <c r="DW118" s="1"/>
      <c r="DX118" s="1">
        <v>40802.25</v>
      </c>
      <c r="DY118" s="1"/>
      <c r="DZ118" s="1"/>
      <c r="EA118" s="1"/>
      <c r="EB118" s="1"/>
      <c r="EC118" s="1"/>
      <c r="ED118" s="1"/>
      <c r="EE118" s="1">
        <v>40724.25</v>
      </c>
      <c r="EF118" s="1"/>
      <c r="EG118" s="1"/>
      <c r="EH118" s="1"/>
      <c r="EI118" s="1"/>
      <c r="EJ118" s="1"/>
      <c r="EK118" s="1"/>
      <c r="EL118" s="1"/>
      <c r="EM118" s="1"/>
      <c r="EN118" s="1"/>
      <c r="EO118" s="1">
        <v>40801.25</v>
      </c>
      <c r="EP118" s="1"/>
      <c r="EQ118" s="1"/>
      <c r="ER118" s="1"/>
      <c r="ES118" s="1"/>
      <c r="ET118" s="1"/>
      <c r="EU118" s="1"/>
      <c r="EV118" s="1"/>
      <c r="EW118" s="1"/>
      <c r="EX118" s="1"/>
      <c r="EY118" s="1"/>
      <c r="EZ118" s="1"/>
      <c r="FA118" s="1"/>
      <c r="FB118" s="1"/>
      <c r="FC118" s="1"/>
      <c r="FD118" s="1">
        <v>40808.25</v>
      </c>
      <c r="FE118" s="1"/>
      <c r="FF118" s="1"/>
      <c r="FG118" s="1"/>
      <c r="FH118" s="1"/>
      <c r="FI118" s="1"/>
      <c r="FJ118" s="1"/>
      <c r="FK118" s="1"/>
      <c r="FL118" s="1"/>
      <c r="FM118" s="1"/>
      <c r="FN118" s="1"/>
      <c r="FO118" s="1"/>
      <c r="FP118" s="1">
        <v>41018.25</v>
      </c>
      <c r="FQ118" s="1"/>
      <c r="FR118" s="1"/>
      <c r="FS118" s="1"/>
      <c r="FT118" s="1">
        <v>41008.25</v>
      </c>
      <c r="FU118" s="1"/>
      <c r="FV118" s="1"/>
      <c r="FW118" s="1"/>
      <c r="FX118" s="1">
        <v>41008.25</v>
      </c>
      <c r="FY118" s="1"/>
      <c r="FZ118" s="1"/>
      <c r="GA118" s="1"/>
      <c r="GB118" s="1"/>
      <c r="GC118" s="1"/>
      <c r="GD118" s="1"/>
      <c r="GE118" s="1"/>
      <c r="GF118" s="1"/>
      <c r="GG118" s="1"/>
      <c r="GH118" s="1"/>
      <c r="GI118" s="1">
        <v>41003.25</v>
      </c>
      <c r="GJ118" s="1">
        <v>41046.25</v>
      </c>
      <c r="GK118" s="1"/>
      <c r="GL118" s="1"/>
      <c r="GM118" s="1"/>
      <c r="GN118" s="1"/>
      <c r="GO118" s="1"/>
      <c r="GP118" s="1"/>
      <c r="GQ118" s="1"/>
      <c r="GR118" s="1"/>
      <c r="GS118" s="1"/>
      <c r="GT118" s="1">
        <v>40934.25</v>
      </c>
      <c r="GU118" s="1"/>
      <c r="GV118" s="1"/>
      <c r="GW118" s="1">
        <v>41016.25</v>
      </c>
      <c r="GX118" s="1"/>
      <c r="GY118" s="1"/>
      <c r="GZ118" s="1"/>
      <c r="HA118" s="1"/>
      <c r="HB118" s="1"/>
      <c r="HC118" s="1"/>
      <c r="HD118" s="1"/>
      <c r="HE118" s="1"/>
      <c r="HF118" s="1"/>
      <c r="HG118" s="1"/>
      <c r="HH118" s="1"/>
    </row>
    <row r="119" spans="1:216" x14ac:dyDescent="0.3">
      <c r="A119" s="3" t="str">
        <f>HYPERLINK("https://hpr-rps.hres.ca/reg-content/summary-basis-decision-detailOne.php?lang=en&amp;linkID=SBD00119", "Prolia TM")</f>
        <v>Prolia TM</v>
      </c>
      <c r="B119" s="1" t="s">
        <v>378</v>
      </c>
      <c r="C119" s="1" t="s">
        <v>379</v>
      </c>
      <c r="D119" s="1" t="s">
        <v>380</v>
      </c>
      <c r="E119" s="1">
        <v>39686.25</v>
      </c>
      <c r="F119" s="1">
        <v>39766.25</v>
      </c>
      <c r="G119" s="1"/>
      <c r="H119" s="1">
        <v>39827.25</v>
      </c>
      <c r="I119" s="1"/>
      <c r="J119" s="1"/>
      <c r="K119" s="1"/>
      <c r="L119" s="1"/>
      <c r="M119" s="1"/>
      <c r="N119" s="1"/>
      <c r="O119" s="1"/>
      <c r="P119" s="1"/>
      <c r="Q119" s="1"/>
      <c r="R119" s="1"/>
      <c r="S119" s="1"/>
      <c r="T119" s="1"/>
      <c r="U119" s="1"/>
      <c r="V119" s="1"/>
      <c r="W119" s="1"/>
      <c r="X119" s="1"/>
      <c r="Y119" s="1"/>
      <c r="Z119" s="1"/>
      <c r="AA119" s="1"/>
      <c r="AB119" s="1"/>
      <c r="AC119" s="1"/>
      <c r="AD119" s="1"/>
      <c r="AE119" s="1"/>
      <c r="AF119" s="1">
        <v>39874.25</v>
      </c>
      <c r="AG119" s="1"/>
      <c r="AH119" s="1"/>
      <c r="AI119" s="1"/>
      <c r="AJ119" s="1"/>
      <c r="AK119" s="1"/>
      <c r="AL119" s="1"/>
      <c r="AM119" s="1"/>
      <c r="AN119" s="1"/>
      <c r="AO119" s="1">
        <v>40098.25</v>
      </c>
      <c r="AP119" s="1"/>
      <c r="AQ119" s="1"/>
      <c r="AR119" s="1">
        <v>40211.25</v>
      </c>
      <c r="AS119" s="1">
        <v>40306.25</v>
      </c>
      <c r="AT119" s="1"/>
      <c r="AU119" s="1"/>
      <c r="AV119" s="1">
        <v>40170.25</v>
      </c>
      <c r="AW119" s="1"/>
      <c r="AX119" s="1">
        <v>40306.25</v>
      </c>
      <c r="AY119" s="1"/>
      <c r="AZ119" s="1">
        <v>40306.25</v>
      </c>
      <c r="BA119" s="1"/>
      <c r="BB119" s="1"/>
      <c r="BC119" s="1"/>
      <c r="BD119" s="1"/>
      <c r="BE119" s="1"/>
      <c r="BF119" s="1"/>
      <c r="BG119" s="1"/>
      <c r="BH119" s="1"/>
      <c r="BI119" s="1"/>
      <c r="BJ119" s="1"/>
      <c r="BK119" s="1"/>
      <c r="BL119" s="1"/>
      <c r="BM119" s="1">
        <v>40396.25</v>
      </c>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row>
    <row r="120" spans="1:216" x14ac:dyDescent="0.3">
      <c r="A120" s="3" t="str">
        <f>HYPERLINK("https://hpr-rps.hres.ca/reg-content/summary-basis-decision-detailOne.php?lang=en&amp;linkID=SBD00120", "Rapaflo TM")</f>
        <v>Rapaflo TM</v>
      </c>
      <c r="B120" s="1" t="s">
        <v>381</v>
      </c>
      <c r="C120" s="1" t="s">
        <v>382</v>
      </c>
      <c r="D120" s="1" t="s">
        <v>383</v>
      </c>
      <c r="E120" s="1">
        <v>39751.208333333343</v>
      </c>
      <c r="F120" s="1"/>
      <c r="G120" s="1"/>
      <c r="H120" s="1">
        <v>40168.25</v>
      </c>
      <c r="I120" s="1"/>
      <c r="J120" s="1"/>
      <c r="K120" s="1"/>
      <c r="L120" s="1"/>
      <c r="M120" s="1"/>
      <c r="N120" s="1"/>
      <c r="O120" s="1"/>
      <c r="P120" s="1"/>
      <c r="Q120" s="1"/>
      <c r="R120" s="1"/>
      <c r="S120" s="1"/>
      <c r="T120" s="1"/>
      <c r="U120" s="1"/>
      <c r="V120" s="1"/>
      <c r="W120" s="1"/>
      <c r="X120" s="1"/>
      <c r="Y120" s="1"/>
      <c r="Z120" s="1">
        <v>40221.25</v>
      </c>
      <c r="AA120" s="1"/>
      <c r="AB120" s="1"/>
      <c r="AC120" s="1">
        <v>40235.25</v>
      </c>
      <c r="AD120" s="1"/>
      <c r="AE120" s="1"/>
      <c r="AF120" s="1">
        <v>40255.208333333343</v>
      </c>
      <c r="AG120" s="1"/>
      <c r="AH120" s="1"/>
      <c r="AI120" s="1"/>
      <c r="AJ120" s="1"/>
      <c r="AK120" s="1"/>
      <c r="AL120" s="1"/>
      <c r="AM120" s="1"/>
      <c r="AN120" s="1"/>
      <c r="AO120" s="1"/>
      <c r="AP120" s="1"/>
      <c r="AQ120" s="1"/>
      <c r="AR120" s="1">
        <v>40553.25</v>
      </c>
      <c r="AS120" s="1">
        <v>40499.25</v>
      </c>
      <c r="AT120" s="1"/>
      <c r="AU120" s="1"/>
      <c r="AV120" s="1">
        <v>40550.25</v>
      </c>
      <c r="AW120" s="1"/>
      <c r="AX120" s="1"/>
      <c r="AY120" s="1"/>
      <c r="AZ120" s="1">
        <v>40554.25</v>
      </c>
      <c r="BA120" s="1"/>
      <c r="BB120" s="1"/>
      <c r="BC120" s="1"/>
      <c r="BD120" s="1"/>
      <c r="BE120" s="1"/>
      <c r="BF120" s="1"/>
      <c r="BG120" s="1"/>
      <c r="BH120" s="1"/>
      <c r="BI120" s="1"/>
      <c r="BJ120" s="1"/>
      <c r="BK120" s="1"/>
      <c r="BL120" s="1"/>
      <c r="BM120" s="1">
        <v>40554.25</v>
      </c>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row>
    <row r="121" spans="1:216" x14ac:dyDescent="0.3">
      <c r="A121" s="3" t="str">
        <f>HYPERLINK("https://hpr-rps.hres.ca/reg-content/summary-basis-decision-detailOne.php?lang=en&amp;linkID=SBD00121", "Raptiva")</f>
        <v>Raptiva</v>
      </c>
      <c r="B121" s="1" t="s">
        <v>384</v>
      </c>
      <c r="C121" s="1" t="s">
        <v>304</v>
      </c>
      <c r="D121" s="1" t="s">
        <v>385</v>
      </c>
      <c r="E121" s="1"/>
      <c r="F121" s="1"/>
      <c r="G121" s="1"/>
      <c r="H121" s="1">
        <v>37728.25</v>
      </c>
      <c r="I121" s="1"/>
      <c r="J121" s="1"/>
      <c r="K121" s="1"/>
      <c r="L121" s="1"/>
      <c r="M121" s="1"/>
      <c r="N121" s="1"/>
      <c r="O121" s="1"/>
      <c r="P121" s="1"/>
      <c r="Q121" s="1"/>
      <c r="R121" s="1"/>
      <c r="S121" s="1"/>
      <c r="T121" s="1"/>
      <c r="U121" s="1"/>
      <c r="V121" s="1"/>
      <c r="W121" s="1"/>
      <c r="X121" s="1"/>
      <c r="Y121" s="1"/>
      <c r="Z121" s="1"/>
      <c r="AA121" s="1"/>
      <c r="AB121" s="1"/>
      <c r="AC121" s="1">
        <v>38190.25</v>
      </c>
      <c r="AD121" s="1">
        <v>38098.25</v>
      </c>
      <c r="AE121" s="1"/>
      <c r="AF121" s="1">
        <v>37798.25</v>
      </c>
      <c r="AG121" s="1"/>
      <c r="AH121" s="1"/>
      <c r="AI121" s="1"/>
      <c r="AJ121" s="1"/>
      <c r="AK121" s="1"/>
      <c r="AL121" s="1"/>
      <c r="AM121" s="1"/>
      <c r="AN121" s="1"/>
      <c r="AO121" s="1">
        <v>38306.25</v>
      </c>
      <c r="AP121" s="1"/>
      <c r="AQ121" s="1"/>
      <c r="AR121" s="1">
        <v>38530.25</v>
      </c>
      <c r="AS121" s="1"/>
      <c r="AT121" s="1"/>
      <c r="AU121" s="1"/>
      <c r="AV121" s="1">
        <v>38639.25</v>
      </c>
      <c r="AW121" s="1"/>
      <c r="AX121" s="1"/>
      <c r="AY121" s="1"/>
      <c r="AZ121" s="1">
        <v>38636.25</v>
      </c>
      <c r="BA121" s="1"/>
      <c r="BB121" s="1"/>
      <c r="BC121" s="1"/>
      <c r="BD121" s="1"/>
      <c r="BE121" s="1"/>
      <c r="BF121" s="1"/>
      <c r="BG121" s="1"/>
      <c r="BH121" s="1"/>
      <c r="BI121" s="1"/>
      <c r="BJ121" s="1"/>
      <c r="BK121" s="1"/>
      <c r="BL121" s="1"/>
      <c r="BM121" s="1">
        <v>38649.25</v>
      </c>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row>
    <row r="122" spans="1:216" x14ac:dyDescent="0.3">
      <c r="A122" s="3" t="str">
        <f>HYPERLINK("https://hpr-rps.hres.ca/reg-content/summary-basis-decision-detailOne.php?lang=en&amp;linkID=SBD00125", "Removab ®")</f>
        <v>Removab ®</v>
      </c>
      <c r="B122" s="1" t="s">
        <v>386</v>
      </c>
      <c r="C122" s="1" t="s">
        <v>387</v>
      </c>
      <c r="D122" s="1" t="s">
        <v>388</v>
      </c>
      <c r="E122" s="1"/>
      <c r="F122" s="1"/>
      <c r="G122" s="1"/>
      <c r="H122" s="1">
        <v>40535.25</v>
      </c>
      <c r="I122" s="1"/>
      <c r="J122" s="1"/>
      <c r="K122" s="1"/>
      <c r="L122" s="1"/>
      <c r="M122" s="1"/>
      <c r="N122" s="1"/>
      <c r="O122" s="1"/>
      <c r="P122" s="1"/>
      <c r="Q122" s="1"/>
      <c r="R122" s="1"/>
      <c r="S122" s="1"/>
      <c r="T122" s="1"/>
      <c r="U122" s="1"/>
      <c r="V122" s="1"/>
      <c r="W122" s="1"/>
      <c r="X122" s="1"/>
      <c r="Y122" s="1"/>
      <c r="Z122" s="1">
        <v>40592.25</v>
      </c>
      <c r="AA122" s="1"/>
      <c r="AB122" s="1"/>
      <c r="AC122" s="1">
        <v>40626.208333333343</v>
      </c>
      <c r="AD122" s="1"/>
      <c r="AE122" s="1"/>
      <c r="AF122" s="1">
        <v>40683.25</v>
      </c>
      <c r="AG122" s="1"/>
      <c r="AH122" s="1"/>
      <c r="AI122" s="1"/>
      <c r="AJ122" s="1"/>
      <c r="AK122" s="1"/>
      <c r="AL122" s="1"/>
      <c r="AM122" s="1"/>
      <c r="AN122" s="1"/>
      <c r="AO122" s="1"/>
      <c r="AP122" s="1"/>
      <c r="AQ122" s="1"/>
      <c r="AR122" s="1">
        <v>41034.25</v>
      </c>
      <c r="AS122" s="1"/>
      <c r="AT122" s="1"/>
      <c r="AU122" s="1"/>
      <c r="AV122" s="1">
        <v>41039.25</v>
      </c>
      <c r="AW122" s="1"/>
      <c r="AX122" s="1"/>
      <c r="AY122" s="1"/>
      <c r="AZ122" s="1">
        <v>40959.25</v>
      </c>
      <c r="BA122" s="1"/>
      <c r="BB122" s="1"/>
      <c r="BC122" s="1"/>
      <c r="BD122" s="1"/>
      <c r="BE122" s="1"/>
      <c r="BF122" s="1"/>
      <c r="BG122" s="1"/>
      <c r="BH122" s="1"/>
      <c r="BI122" s="1"/>
      <c r="BJ122" s="1"/>
      <c r="BK122" s="1"/>
      <c r="BL122" s="1"/>
      <c r="BM122" s="1">
        <v>41040.25</v>
      </c>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row>
    <row r="123" spans="1:216" x14ac:dyDescent="0.3">
      <c r="A123" s="3" t="str">
        <f>HYPERLINK("https://hpr-rps.hres.ca/reg-content/summary-basis-decision-detailOne.php?lang=en&amp;linkID=SBD00122", "Rasilez")</f>
        <v>Rasilez</v>
      </c>
      <c r="B123" s="1" t="s">
        <v>389</v>
      </c>
      <c r="C123" s="1" t="s">
        <v>87</v>
      </c>
      <c r="D123" s="1" t="s">
        <v>390</v>
      </c>
      <c r="E123" s="1"/>
      <c r="F123" s="1"/>
      <c r="G123" s="1"/>
      <c r="H123" s="1">
        <v>38827.25</v>
      </c>
      <c r="I123" s="1"/>
      <c r="J123" s="1"/>
      <c r="K123" s="1"/>
      <c r="L123" s="1"/>
      <c r="M123" s="1"/>
      <c r="N123" s="1"/>
      <c r="O123" s="1"/>
      <c r="P123" s="1"/>
      <c r="Q123" s="1"/>
      <c r="R123" s="1"/>
      <c r="S123" s="1"/>
      <c r="T123" s="1"/>
      <c r="U123" s="1"/>
      <c r="V123" s="1"/>
      <c r="W123" s="1"/>
      <c r="X123" s="1"/>
      <c r="Y123" s="1"/>
      <c r="Z123" s="1"/>
      <c r="AA123" s="1"/>
      <c r="AB123" s="1"/>
      <c r="AC123" s="1"/>
      <c r="AD123" s="1"/>
      <c r="AE123" s="1"/>
      <c r="AF123" s="1">
        <v>38861.25</v>
      </c>
      <c r="AG123" s="1"/>
      <c r="AH123" s="1"/>
      <c r="AI123" s="1"/>
      <c r="AJ123" s="1"/>
      <c r="AK123" s="1"/>
      <c r="AL123" s="1"/>
      <c r="AM123" s="1"/>
      <c r="AN123" s="1"/>
      <c r="AO123" s="1"/>
      <c r="AP123" s="1"/>
      <c r="AQ123" s="1"/>
      <c r="AR123" s="1"/>
      <c r="AS123" s="1">
        <v>39156.208333333343</v>
      </c>
      <c r="AT123" s="1"/>
      <c r="AU123" s="1"/>
      <c r="AV123" s="1">
        <v>39158.208333333343</v>
      </c>
      <c r="AW123" s="1"/>
      <c r="AX123" s="1"/>
      <c r="AY123" s="1"/>
      <c r="AZ123" s="1">
        <v>39160.208333333343</v>
      </c>
      <c r="BA123" s="1"/>
      <c r="BB123" s="1"/>
      <c r="BC123" s="1"/>
      <c r="BD123" s="1"/>
      <c r="BE123" s="1"/>
      <c r="BF123" s="1"/>
      <c r="BG123" s="1"/>
      <c r="BH123" s="1"/>
      <c r="BI123" s="1"/>
      <c r="BJ123" s="1"/>
      <c r="BK123" s="1"/>
      <c r="BL123" s="1"/>
      <c r="BM123" s="1"/>
      <c r="BN123" s="1"/>
      <c r="BO123" s="1"/>
      <c r="BP123" s="1"/>
      <c r="BQ123" s="1"/>
      <c r="BR123" s="1"/>
      <c r="BS123" s="1"/>
      <c r="BT123" s="1">
        <v>39161.208333333343</v>
      </c>
      <c r="BU123" s="1"/>
      <c r="BV123" s="1"/>
      <c r="BW123" s="1"/>
      <c r="BX123" s="1"/>
      <c r="BY123" s="1">
        <v>39226.25</v>
      </c>
      <c r="BZ123" s="1"/>
      <c r="CA123" s="1"/>
      <c r="CB123" s="1"/>
      <c r="CC123" s="1"/>
      <c r="CD123" s="1"/>
      <c r="CE123" s="1"/>
      <c r="CF123" s="1"/>
      <c r="CG123" s="1"/>
      <c r="CH123" s="1"/>
      <c r="CI123" s="1"/>
      <c r="CJ123" s="1"/>
      <c r="CK123" s="1"/>
      <c r="CL123" s="1"/>
      <c r="CM123" s="1"/>
      <c r="CN123" s="1"/>
      <c r="CO123" s="1"/>
      <c r="CP123" s="1"/>
      <c r="CQ123" s="1"/>
      <c r="CR123" s="1">
        <v>39251.25</v>
      </c>
      <c r="CS123" s="1"/>
      <c r="CT123" s="1"/>
      <c r="CU123" s="1"/>
      <c r="CV123" s="1"/>
      <c r="CW123" s="1"/>
      <c r="CX123" s="1"/>
      <c r="CY123" s="1"/>
      <c r="CZ123" s="1"/>
      <c r="DA123" s="1"/>
      <c r="DB123" s="1"/>
      <c r="DC123" s="1"/>
      <c r="DD123" s="1">
        <v>39395.25</v>
      </c>
      <c r="DE123" s="1"/>
      <c r="DF123" s="1"/>
      <c r="DG123" s="1"/>
      <c r="DH123" s="1">
        <v>39393.25</v>
      </c>
      <c r="DI123" s="1"/>
      <c r="DJ123" s="1"/>
      <c r="DK123" s="1"/>
      <c r="DL123" s="1">
        <v>39393.25</v>
      </c>
      <c r="DM123" s="1"/>
      <c r="DN123" s="1"/>
      <c r="DO123" s="1"/>
      <c r="DP123" s="1"/>
      <c r="DQ123" s="1"/>
      <c r="DR123" s="1"/>
      <c r="DS123" s="1"/>
      <c r="DT123" s="1"/>
      <c r="DU123" s="1"/>
      <c r="DV123" s="1"/>
      <c r="DW123" s="1"/>
      <c r="DX123" s="1"/>
      <c r="DY123" s="1">
        <v>39400.25</v>
      </c>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row>
    <row r="124" spans="1:216" x14ac:dyDescent="0.3">
      <c r="A124" s="3" t="str">
        <f>HYPERLINK("https://hpr-rps.hres.ca/reg-content/summary-basis-decision-detailOne.php?lang=en&amp;linkID=SBD00123", "Recothrom ®")</f>
        <v>Recothrom ®</v>
      </c>
      <c r="B124" s="1" t="s">
        <v>391</v>
      </c>
      <c r="C124" s="1" t="s">
        <v>338</v>
      </c>
      <c r="D124" s="1" t="s">
        <v>392</v>
      </c>
      <c r="E124" s="1">
        <v>39562.25</v>
      </c>
      <c r="F124" s="1"/>
      <c r="G124" s="1"/>
      <c r="H124" s="1">
        <v>39758.25</v>
      </c>
      <c r="I124" s="1"/>
      <c r="J124" s="1"/>
      <c r="K124" s="1"/>
      <c r="L124" s="1"/>
      <c r="M124" s="1"/>
      <c r="N124" s="1"/>
      <c r="O124" s="1"/>
      <c r="P124" s="1"/>
      <c r="Q124" s="1"/>
      <c r="R124" s="1"/>
      <c r="S124" s="1"/>
      <c r="T124" s="1"/>
      <c r="U124" s="1"/>
      <c r="V124" s="1"/>
      <c r="W124" s="1"/>
      <c r="X124" s="1"/>
      <c r="Y124" s="1"/>
      <c r="Z124" s="1"/>
      <c r="AA124" s="1"/>
      <c r="AB124" s="1"/>
      <c r="AC124" s="1"/>
      <c r="AD124" s="1"/>
      <c r="AE124" s="1"/>
      <c r="AF124" s="1">
        <v>39801.25</v>
      </c>
      <c r="AG124" s="1"/>
      <c r="AH124" s="1"/>
      <c r="AI124" s="1"/>
      <c r="AJ124" s="1"/>
      <c r="AK124" s="1"/>
      <c r="AL124" s="1"/>
      <c r="AM124" s="1"/>
      <c r="AN124" s="1"/>
      <c r="AO124" s="1">
        <v>40084.25</v>
      </c>
      <c r="AP124" s="1"/>
      <c r="AQ124" s="1"/>
      <c r="AR124" s="1">
        <v>40100.25</v>
      </c>
      <c r="AS124" s="1"/>
      <c r="AT124" s="1"/>
      <c r="AU124" s="1"/>
      <c r="AV124" s="1">
        <v>40101.25</v>
      </c>
      <c r="AW124" s="1"/>
      <c r="AX124" s="1">
        <v>40151.25</v>
      </c>
      <c r="AY124" s="1"/>
      <c r="AZ124" s="1">
        <v>40151.25</v>
      </c>
      <c r="BA124" s="1"/>
      <c r="BB124" s="1"/>
      <c r="BC124" s="1"/>
      <c r="BD124" s="1"/>
      <c r="BE124" s="1"/>
      <c r="BF124" s="1"/>
      <c r="BG124" s="1"/>
      <c r="BH124" s="1"/>
      <c r="BI124" s="1"/>
      <c r="BJ124" s="1"/>
      <c r="BK124" s="1"/>
      <c r="BL124" s="1"/>
      <c r="BM124" s="1">
        <v>40162.25</v>
      </c>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row>
    <row r="125" spans="1:216" x14ac:dyDescent="0.3">
      <c r="A125" s="3" t="str">
        <f>HYPERLINK("https://hpr-rps.hres.ca/reg-content/summary-basis-decision-detailOne.php?lang=en&amp;linkID=SBD00124", "Relistor TM")</f>
        <v>Relistor TM</v>
      </c>
      <c r="B125" s="1" t="s">
        <v>393</v>
      </c>
      <c r="C125" s="1" t="s">
        <v>365</v>
      </c>
      <c r="D125" s="1" t="s">
        <v>394</v>
      </c>
      <c r="E125" s="1">
        <v>39260.25</v>
      </c>
      <c r="F125" s="1"/>
      <c r="G125" s="1"/>
      <c r="H125" s="1"/>
      <c r="I125" s="1"/>
      <c r="J125" s="1"/>
      <c r="K125" s="1"/>
      <c r="L125" s="1"/>
      <c r="M125" s="1"/>
      <c r="N125" s="1">
        <v>39269.25</v>
      </c>
      <c r="O125" s="1"/>
      <c r="P125" s="1"/>
      <c r="Q125" s="1"/>
      <c r="R125" s="1"/>
      <c r="S125" s="1">
        <v>39297.25</v>
      </c>
      <c r="T125" s="1"/>
      <c r="U125" s="1"/>
      <c r="V125" s="1"/>
      <c r="W125" s="1"/>
      <c r="X125" s="1"/>
      <c r="Y125" s="1"/>
      <c r="Z125" s="1"/>
      <c r="AA125" s="1"/>
      <c r="AB125" s="1"/>
      <c r="AC125" s="1"/>
      <c r="AD125" s="1"/>
      <c r="AE125" s="1"/>
      <c r="AF125" s="1">
        <v>39356.25</v>
      </c>
      <c r="AG125" s="1"/>
      <c r="AH125" s="1"/>
      <c r="AI125" s="1"/>
      <c r="AJ125" s="1"/>
      <c r="AK125" s="1"/>
      <c r="AL125" s="1"/>
      <c r="AM125" s="1"/>
      <c r="AN125" s="1"/>
      <c r="AO125" s="1"/>
      <c r="AP125" s="1"/>
      <c r="AQ125" s="1"/>
      <c r="AR125" s="1">
        <v>39533.208333333343</v>
      </c>
      <c r="AS125" s="1"/>
      <c r="AT125" s="1"/>
      <c r="AU125" s="1"/>
      <c r="AV125" s="1">
        <v>39532.208333333343</v>
      </c>
      <c r="AW125" s="1"/>
      <c r="AX125" s="1"/>
      <c r="AY125" s="1"/>
      <c r="AZ125" s="1">
        <v>39533.208333333343</v>
      </c>
      <c r="BA125" s="1"/>
      <c r="BB125" s="1"/>
      <c r="BC125" s="1"/>
      <c r="BD125" s="1"/>
      <c r="BE125" s="1"/>
      <c r="BF125" s="1"/>
      <c r="BG125" s="1"/>
      <c r="BH125" s="1"/>
      <c r="BI125" s="1"/>
      <c r="BJ125" s="1"/>
      <c r="BK125" s="1"/>
      <c r="BL125" s="1"/>
      <c r="BM125" s="1">
        <v>39535.208333333343</v>
      </c>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row>
    <row r="126" spans="1:216" x14ac:dyDescent="0.3">
      <c r="A126" s="3" t="str">
        <f>HYPERLINK("https://hpr-rps.hres.ca/reg-content/summary-basis-decision-detailOne.php?lang=en&amp;linkID=SBD00126", "Resotran TM")</f>
        <v>Resotran TM</v>
      </c>
      <c r="B126" s="1" t="s">
        <v>395</v>
      </c>
      <c r="C126" s="1" t="s">
        <v>201</v>
      </c>
      <c r="D126" s="1" t="s">
        <v>396</v>
      </c>
      <c r="E126" s="1">
        <v>40415.25</v>
      </c>
      <c r="F126" s="1"/>
      <c r="G126" s="1"/>
      <c r="H126" s="1">
        <v>40529.25</v>
      </c>
      <c r="I126" s="1"/>
      <c r="J126" s="1"/>
      <c r="K126" s="1"/>
      <c r="L126" s="1"/>
      <c r="M126" s="1"/>
      <c r="N126" s="1"/>
      <c r="O126" s="1"/>
      <c r="P126" s="1"/>
      <c r="Q126" s="1"/>
      <c r="R126" s="1"/>
      <c r="S126" s="1"/>
      <c r="T126" s="1"/>
      <c r="U126" s="1"/>
      <c r="V126" s="1"/>
      <c r="W126" s="1"/>
      <c r="X126" s="1"/>
      <c r="Y126" s="1"/>
      <c r="Z126" s="1"/>
      <c r="AA126" s="1"/>
      <c r="AB126" s="1"/>
      <c r="AC126" s="1"/>
      <c r="AD126" s="1"/>
      <c r="AE126" s="1"/>
      <c r="AF126" s="1">
        <v>40584.25</v>
      </c>
      <c r="AG126" s="1"/>
      <c r="AH126" s="1"/>
      <c r="AI126" s="1"/>
      <c r="AJ126" s="1"/>
      <c r="AK126" s="1"/>
      <c r="AL126" s="1"/>
      <c r="AM126" s="1"/>
      <c r="AN126" s="1"/>
      <c r="AO126" s="1"/>
      <c r="AP126" s="1"/>
      <c r="AQ126" s="1"/>
      <c r="AR126" s="1">
        <v>40878.25</v>
      </c>
      <c r="AS126" s="1">
        <v>40813.25</v>
      </c>
      <c r="AT126" s="1"/>
      <c r="AU126" s="1"/>
      <c r="AV126" s="1">
        <v>40864.25</v>
      </c>
      <c r="AW126" s="1"/>
      <c r="AX126" s="1"/>
      <c r="AY126" s="1"/>
      <c r="AZ126" s="1">
        <v>40878.25</v>
      </c>
      <c r="BA126" s="1"/>
      <c r="BB126" s="1"/>
      <c r="BC126" s="1"/>
      <c r="BD126" s="1"/>
      <c r="BE126" s="1"/>
      <c r="BF126" s="1"/>
      <c r="BG126" s="1"/>
      <c r="BH126" s="1"/>
      <c r="BI126" s="1"/>
      <c r="BJ126" s="1"/>
      <c r="BK126" s="1"/>
      <c r="BL126" s="1"/>
      <c r="BM126" s="1">
        <v>40884.25</v>
      </c>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row>
    <row r="127" spans="1:216" x14ac:dyDescent="0.3">
      <c r="A127" s="3" t="str">
        <f>HYPERLINK("https://hpr-rps.hres.ca/reg-content/summary-basis-decision-detailOne.php?lang=en&amp;linkID=SBD00127", "Revlimid ®")</f>
        <v>Revlimid ®</v>
      </c>
      <c r="B127" s="1" t="s">
        <v>397</v>
      </c>
      <c r="C127" s="1" t="s">
        <v>398</v>
      </c>
      <c r="D127" s="1" t="s">
        <v>399</v>
      </c>
      <c r="E127" s="1"/>
      <c r="F127" s="1"/>
      <c r="G127" s="1"/>
      <c r="H127" s="1">
        <v>39154.208333333343</v>
      </c>
      <c r="I127" s="1"/>
      <c r="J127" s="1"/>
      <c r="K127" s="1"/>
      <c r="L127" s="1"/>
      <c r="M127" s="1"/>
      <c r="N127" s="1"/>
      <c r="O127" s="1"/>
      <c r="P127" s="1"/>
      <c r="Q127" s="1"/>
      <c r="R127" s="1"/>
      <c r="S127" s="1"/>
      <c r="T127" s="1"/>
      <c r="U127" s="1"/>
      <c r="V127" s="1"/>
      <c r="W127" s="1"/>
      <c r="X127" s="1"/>
      <c r="Y127" s="1"/>
      <c r="Z127" s="1">
        <v>39154.208333333343</v>
      </c>
      <c r="AA127" s="1"/>
      <c r="AB127" s="1"/>
      <c r="AC127" s="1">
        <v>39189.25</v>
      </c>
      <c r="AD127" s="1"/>
      <c r="AE127" s="1"/>
      <c r="AF127" s="1">
        <v>39213.25</v>
      </c>
      <c r="AG127" s="1"/>
      <c r="AH127" s="1"/>
      <c r="AI127" s="1"/>
      <c r="AJ127" s="1"/>
      <c r="AK127" s="1"/>
      <c r="AL127" s="1"/>
      <c r="AM127" s="1"/>
      <c r="AN127" s="1"/>
      <c r="AO127" s="1"/>
      <c r="AP127" s="1"/>
      <c r="AQ127" s="1"/>
      <c r="AR127" s="1">
        <v>39463.25</v>
      </c>
      <c r="AS127" s="1"/>
      <c r="AT127" s="1"/>
      <c r="AU127" s="1"/>
      <c r="AV127" s="1">
        <v>39412.25</v>
      </c>
      <c r="AW127" s="1"/>
      <c r="AX127" s="1"/>
      <c r="AY127" s="1"/>
      <c r="AZ127" s="1">
        <v>39464.25</v>
      </c>
      <c r="BA127" s="1"/>
      <c r="BB127" s="1"/>
      <c r="BC127" s="1"/>
      <c r="BD127" s="1"/>
      <c r="BE127" s="1"/>
      <c r="BF127" s="1"/>
      <c r="BG127" s="1"/>
      <c r="BH127" s="1"/>
      <c r="BI127" s="1"/>
      <c r="BJ127" s="1"/>
      <c r="BK127" s="1">
        <v>39413.25</v>
      </c>
      <c r="BL127" s="1">
        <v>39464.25</v>
      </c>
      <c r="BM127" s="1"/>
      <c r="BN127" s="1"/>
      <c r="BO127" s="1"/>
      <c r="BP127" s="1"/>
      <c r="BQ127" s="1"/>
      <c r="BR127" s="1"/>
      <c r="BS127" s="1"/>
      <c r="BT127" s="1"/>
      <c r="BU127" s="1"/>
      <c r="BV127" s="1"/>
      <c r="BW127" s="1"/>
      <c r="BX127" s="1"/>
      <c r="BY127" s="1">
        <v>39430.25</v>
      </c>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row>
    <row r="128" spans="1:216" x14ac:dyDescent="0.3">
      <c r="A128" s="3" t="str">
        <f>HYPERLINK("https://hpr-rps.hres.ca/reg-content/summary-basis-decision-detailOne.php?lang=en&amp;linkID=SBD00128", "Revolade TM")</f>
        <v>Revolade TM</v>
      </c>
      <c r="B128" s="1" t="s">
        <v>400</v>
      </c>
      <c r="C128" s="1" t="s">
        <v>96</v>
      </c>
      <c r="D128" s="1" t="s">
        <v>401</v>
      </c>
      <c r="E128" s="1"/>
      <c r="F128" s="1"/>
      <c r="G128" s="1"/>
      <c r="H128" s="1">
        <v>39790.25</v>
      </c>
      <c r="I128" s="1"/>
      <c r="J128" s="1"/>
      <c r="K128" s="1"/>
      <c r="L128" s="1"/>
      <c r="M128" s="1"/>
      <c r="N128" s="1"/>
      <c r="O128" s="1"/>
      <c r="P128" s="1"/>
      <c r="Q128" s="1"/>
      <c r="R128" s="1"/>
      <c r="S128" s="1"/>
      <c r="T128" s="1"/>
      <c r="U128" s="1"/>
      <c r="V128" s="1"/>
      <c r="W128" s="1"/>
      <c r="X128" s="1"/>
      <c r="Y128" s="1"/>
      <c r="Z128" s="1"/>
      <c r="AA128" s="1"/>
      <c r="AB128" s="1"/>
      <c r="AC128" s="1"/>
      <c r="AD128" s="1"/>
      <c r="AE128" s="1"/>
      <c r="AF128" s="1">
        <v>39821.25</v>
      </c>
      <c r="AG128" s="1"/>
      <c r="AH128" s="1"/>
      <c r="AI128" s="1"/>
      <c r="AJ128" s="1"/>
      <c r="AK128" s="1"/>
      <c r="AL128" s="1"/>
      <c r="AM128" s="1"/>
      <c r="AN128" s="1"/>
      <c r="AO128" s="1"/>
      <c r="AP128" s="1"/>
      <c r="AQ128" s="1"/>
      <c r="AR128" s="1">
        <v>40114.208333333343</v>
      </c>
      <c r="AS128" s="1"/>
      <c r="AT128" s="1"/>
      <c r="AU128" s="1"/>
      <c r="AV128" s="1">
        <v>40114.208333333343</v>
      </c>
      <c r="AW128" s="1"/>
      <c r="AX128" s="1"/>
      <c r="AY128" s="1"/>
      <c r="AZ128" s="1">
        <v>40114.208333333343</v>
      </c>
      <c r="BA128" s="1"/>
      <c r="BB128" s="1"/>
      <c r="BC128" s="1"/>
      <c r="BD128" s="1"/>
      <c r="BE128" s="1"/>
      <c r="BF128" s="1"/>
      <c r="BG128" s="1"/>
      <c r="BH128" s="1"/>
      <c r="BI128" s="1"/>
      <c r="BJ128" s="1"/>
      <c r="BK128" s="1"/>
      <c r="BL128" s="1"/>
      <c r="BM128" s="1"/>
      <c r="BN128" s="1"/>
      <c r="BO128" s="1"/>
      <c r="BP128" s="1">
        <v>40115.208333333343</v>
      </c>
      <c r="BQ128" s="1"/>
      <c r="BR128" s="1"/>
      <c r="BS128" s="1"/>
      <c r="BT128" s="1"/>
      <c r="BU128" s="1"/>
      <c r="BV128" s="1"/>
      <c r="BW128" s="1"/>
      <c r="BX128" s="1"/>
      <c r="BY128" s="1">
        <v>40205.25</v>
      </c>
      <c r="BZ128" s="1"/>
      <c r="CA128" s="1"/>
      <c r="CB128" s="1"/>
      <c r="CC128" s="1"/>
      <c r="CD128" s="1"/>
      <c r="CE128" s="1"/>
      <c r="CF128" s="1"/>
      <c r="CG128" s="1"/>
      <c r="CH128" s="1"/>
      <c r="CI128" s="1"/>
      <c r="CJ128" s="1"/>
      <c r="CK128" s="1"/>
      <c r="CL128" s="1"/>
      <c r="CM128" s="1"/>
      <c r="CN128" s="1"/>
      <c r="CO128" s="1"/>
      <c r="CP128" s="1"/>
      <c r="CQ128" s="1"/>
      <c r="CR128" s="1">
        <v>40255.208333333343</v>
      </c>
      <c r="CS128" s="1"/>
      <c r="CT128" s="1"/>
      <c r="CU128" s="1"/>
      <c r="CV128" s="1"/>
      <c r="CW128" s="1"/>
      <c r="CX128" s="1"/>
      <c r="CY128" s="1"/>
      <c r="CZ128" s="1"/>
      <c r="DA128" s="1"/>
      <c r="DB128" s="1"/>
      <c r="DC128" s="1"/>
      <c r="DD128" s="1">
        <v>40555.25</v>
      </c>
      <c r="DE128" s="1"/>
      <c r="DF128" s="1"/>
      <c r="DG128" s="1"/>
      <c r="DH128" s="1">
        <v>40554.25</v>
      </c>
      <c r="DI128" s="1"/>
      <c r="DJ128" s="1"/>
      <c r="DK128" s="1"/>
      <c r="DL128" s="1">
        <v>40555.25</v>
      </c>
      <c r="DM128" s="1"/>
      <c r="DN128" s="1"/>
      <c r="DO128" s="1"/>
      <c r="DP128" s="1"/>
      <c r="DQ128" s="1"/>
      <c r="DR128" s="1"/>
      <c r="DS128" s="1"/>
      <c r="DT128" s="1"/>
      <c r="DU128" s="1"/>
      <c r="DV128" s="1"/>
      <c r="DW128" s="1"/>
      <c r="DX128" s="1"/>
      <c r="DY128" s="1">
        <v>40555.25</v>
      </c>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row>
    <row r="129" spans="1:216" x14ac:dyDescent="0.3">
      <c r="A129" s="3" t="str">
        <f>HYPERLINK("https://hpr-rps.hres.ca/reg-content/summary-basis-decision-detailOne.php?lang=en&amp;linkID=SBD00129", "Rotarix TM")</f>
        <v>Rotarix TM</v>
      </c>
      <c r="B129" s="1" t="s">
        <v>402</v>
      </c>
      <c r="C129" s="1" t="s">
        <v>96</v>
      </c>
      <c r="D129" s="1" t="s">
        <v>403</v>
      </c>
      <c r="E129" s="1">
        <v>38407.25</v>
      </c>
      <c r="F129" s="1"/>
      <c r="G129" s="1"/>
      <c r="H129" s="1">
        <v>39022.25</v>
      </c>
      <c r="I129" s="1"/>
      <c r="J129" s="1"/>
      <c r="K129" s="1"/>
      <c r="L129" s="1"/>
      <c r="M129" s="1"/>
      <c r="N129" s="1"/>
      <c r="O129" s="1"/>
      <c r="P129" s="1"/>
      <c r="Q129" s="1"/>
      <c r="R129" s="1"/>
      <c r="S129" s="1"/>
      <c r="T129" s="1"/>
      <c r="U129" s="1"/>
      <c r="V129" s="1"/>
      <c r="W129" s="1"/>
      <c r="X129" s="1"/>
      <c r="Y129" s="1"/>
      <c r="Z129" s="1"/>
      <c r="AA129" s="1"/>
      <c r="AB129" s="1"/>
      <c r="AC129" s="1"/>
      <c r="AD129" s="1"/>
      <c r="AE129" s="1"/>
      <c r="AF129" s="1">
        <v>39064.25</v>
      </c>
      <c r="AG129" s="1"/>
      <c r="AH129" s="1"/>
      <c r="AI129" s="1"/>
      <c r="AJ129" s="1"/>
      <c r="AK129" s="1"/>
      <c r="AL129" s="1"/>
      <c r="AM129" s="1"/>
      <c r="AN129" s="1"/>
      <c r="AO129" s="1">
        <v>39237.25</v>
      </c>
      <c r="AP129" s="1"/>
      <c r="AQ129" s="1"/>
      <c r="AR129" s="1">
        <v>39345.25</v>
      </c>
      <c r="AS129" s="1"/>
      <c r="AT129" s="1"/>
      <c r="AU129" s="1"/>
      <c r="AV129" s="1">
        <v>39357.25</v>
      </c>
      <c r="AW129" s="1"/>
      <c r="AX129" s="1"/>
      <c r="AY129" s="1"/>
      <c r="AZ129" s="1">
        <v>39360.25</v>
      </c>
      <c r="BA129" s="1"/>
      <c r="BB129" s="1"/>
      <c r="BC129" s="1"/>
      <c r="BD129" s="1"/>
      <c r="BE129" s="1"/>
      <c r="BF129" s="1"/>
      <c r="BG129" s="1"/>
      <c r="BH129" s="1"/>
      <c r="BI129" s="1"/>
      <c r="BJ129" s="1"/>
      <c r="BK129" s="1"/>
      <c r="BL129" s="1"/>
      <c r="BM129" s="1">
        <v>39364.25</v>
      </c>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row>
    <row r="130" spans="1:216" x14ac:dyDescent="0.3">
      <c r="A130" s="3" t="str">
        <f>HYPERLINK("https://hpr-rps.hres.ca/reg-content/summary-basis-decision-detailOne.php?lang=en&amp;linkID=SBD00130", "RotaTeq TM")</f>
        <v>RotaTeq TM</v>
      </c>
      <c r="B130" s="1" t="s">
        <v>404</v>
      </c>
      <c r="C130" s="1" t="s">
        <v>212</v>
      </c>
      <c r="D130" s="1" t="s">
        <v>405</v>
      </c>
      <c r="E130" s="1">
        <v>38497.25</v>
      </c>
      <c r="F130" s="1"/>
      <c r="G130" s="1"/>
      <c r="H130" s="1"/>
      <c r="I130" s="1"/>
      <c r="J130" s="1"/>
      <c r="K130" s="1"/>
      <c r="L130" s="1"/>
      <c r="M130" s="1"/>
      <c r="N130" s="1">
        <v>38510.25</v>
      </c>
      <c r="O130" s="1"/>
      <c r="P130" s="1"/>
      <c r="Q130" s="1"/>
      <c r="R130" s="1"/>
      <c r="S130" s="1"/>
      <c r="T130" s="1">
        <v>38545.25</v>
      </c>
      <c r="U130" s="1"/>
      <c r="V130" s="1">
        <v>38568.25</v>
      </c>
      <c r="W130" s="1"/>
      <c r="X130" s="1"/>
      <c r="Y130" s="1"/>
      <c r="Z130" s="1"/>
      <c r="AA130" s="1"/>
      <c r="AB130" s="1"/>
      <c r="AC130" s="1"/>
      <c r="AD130" s="1"/>
      <c r="AE130" s="1"/>
      <c r="AF130" s="1">
        <v>38630.25</v>
      </c>
      <c r="AG130" s="1"/>
      <c r="AH130" s="1"/>
      <c r="AI130" s="1"/>
      <c r="AJ130" s="1"/>
      <c r="AK130" s="1"/>
      <c r="AL130" s="1"/>
      <c r="AM130" s="1"/>
      <c r="AN130" s="1"/>
      <c r="AO130" s="1">
        <v>38880.25</v>
      </c>
      <c r="AP130" s="1"/>
      <c r="AQ130" s="1"/>
      <c r="AR130" s="1">
        <v>38922.25</v>
      </c>
      <c r="AS130" s="1"/>
      <c r="AT130" s="1"/>
      <c r="AU130" s="1"/>
      <c r="AV130" s="1">
        <v>38930.25</v>
      </c>
      <c r="AW130" s="1"/>
      <c r="AX130" s="1"/>
      <c r="AY130" s="1"/>
      <c r="AZ130" s="1">
        <v>38930.25</v>
      </c>
      <c r="BA130" s="1"/>
      <c r="BB130" s="1"/>
      <c r="BC130" s="1"/>
      <c r="BD130" s="1"/>
      <c r="BE130" s="1"/>
      <c r="BF130" s="1"/>
      <c r="BG130" s="1"/>
      <c r="BH130" s="1"/>
      <c r="BI130" s="1"/>
      <c r="BJ130" s="1"/>
      <c r="BK130" s="1"/>
      <c r="BL130" s="1"/>
      <c r="BM130" s="1">
        <v>38930.25</v>
      </c>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row>
    <row r="131" spans="1:216" x14ac:dyDescent="0.3">
      <c r="A131" s="3" t="str">
        <f>HYPERLINK("https://hpr-rps.hres.ca/reg-content/summary-basis-decision-detailOne.php?lang=en&amp;linkID=SBD00141", "Sutent")</f>
        <v>Sutent</v>
      </c>
      <c r="B131" s="1" t="s">
        <v>406</v>
      </c>
      <c r="C131" s="1" t="s">
        <v>143</v>
      </c>
      <c r="D131" s="1" t="s">
        <v>407</v>
      </c>
      <c r="E131" s="1">
        <v>38450.25</v>
      </c>
      <c r="F131" s="1"/>
      <c r="G131" s="1"/>
      <c r="H131" s="1"/>
      <c r="I131" s="1"/>
      <c r="J131" s="1"/>
      <c r="K131" s="1"/>
      <c r="L131" s="1"/>
      <c r="M131" s="1"/>
      <c r="N131" s="1">
        <v>38579.25</v>
      </c>
      <c r="O131" s="1"/>
      <c r="P131" s="1"/>
      <c r="Q131" s="1"/>
      <c r="R131" s="1"/>
      <c r="S131" s="1">
        <v>38614.25</v>
      </c>
      <c r="T131" s="1"/>
      <c r="U131" s="1"/>
      <c r="V131" s="1">
        <v>38615.25</v>
      </c>
      <c r="W131" s="1"/>
      <c r="X131" s="1"/>
      <c r="Y131" s="1"/>
      <c r="Z131" s="1">
        <v>38656.25</v>
      </c>
      <c r="AA131" s="1"/>
      <c r="AB131" s="1"/>
      <c r="AC131" s="1">
        <v>38664.25</v>
      </c>
      <c r="AD131" s="1"/>
      <c r="AE131" s="1"/>
      <c r="AF131" s="1">
        <v>38685.25</v>
      </c>
      <c r="AG131" s="1"/>
      <c r="AH131" s="1"/>
      <c r="AI131" s="1"/>
      <c r="AJ131" s="1"/>
      <c r="AK131" s="1"/>
      <c r="AL131" s="1"/>
      <c r="AM131" s="1"/>
      <c r="AN131" s="1"/>
      <c r="AO131" s="1"/>
      <c r="AP131" s="1"/>
      <c r="AQ131" s="1"/>
      <c r="AR131" s="1">
        <v>38863.25</v>
      </c>
      <c r="AS131" s="1">
        <v>38797.25</v>
      </c>
      <c r="AT131" s="1"/>
      <c r="AU131" s="1"/>
      <c r="AV131" s="1">
        <v>38835.25</v>
      </c>
      <c r="AW131" s="1"/>
      <c r="AX131" s="1">
        <v>38833.25</v>
      </c>
      <c r="AY131" s="1"/>
      <c r="AZ131" s="1">
        <v>38862.25</v>
      </c>
      <c r="BA131" s="1"/>
      <c r="BB131" s="1"/>
      <c r="BC131" s="1"/>
      <c r="BD131" s="1"/>
      <c r="BE131" s="1"/>
      <c r="BF131" s="1"/>
      <c r="BG131" s="1"/>
      <c r="BH131" s="1"/>
      <c r="BI131" s="1"/>
      <c r="BJ131" s="1"/>
      <c r="BK131" s="1"/>
      <c r="BL131" s="1"/>
      <c r="BM131" s="1">
        <v>38863.25</v>
      </c>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row>
    <row r="132" spans="1:216" x14ac:dyDescent="0.3">
      <c r="A132" s="3" t="str">
        <f>HYPERLINK("https://hpr-rps.hres.ca/reg-content/summary-basis-decision-detailOne.php?lang=en&amp;linkID=SBD00131", "Ruby-Fill TM")</f>
        <v>Ruby-Fill TM</v>
      </c>
      <c r="B132" s="1" t="s">
        <v>408</v>
      </c>
      <c r="C132" s="1" t="s">
        <v>409</v>
      </c>
      <c r="D132" s="1" t="s">
        <v>410</v>
      </c>
      <c r="E132" s="1">
        <v>39644.25</v>
      </c>
      <c r="F132" s="1"/>
      <c r="G132" s="1"/>
      <c r="H132" s="1"/>
      <c r="I132" s="1"/>
      <c r="J132" s="1"/>
      <c r="K132" s="1"/>
      <c r="L132" s="1"/>
      <c r="M132" s="1"/>
      <c r="N132" s="1">
        <v>40199.25</v>
      </c>
      <c r="O132" s="1"/>
      <c r="P132" s="1"/>
      <c r="Q132" s="1"/>
      <c r="R132" s="1"/>
      <c r="S132" s="1">
        <v>40228.25</v>
      </c>
      <c r="T132" s="1"/>
      <c r="U132" s="1"/>
      <c r="V132" s="1">
        <v>40315.25</v>
      </c>
      <c r="W132" s="1"/>
      <c r="X132" s="1"/>
      <c r="Y132" s="1"/>
      <c r="Z132" s="1"/>
      <c r="AA132" s="1"/>
      <c r="AB132" s="1"/>
      <c r="AC132" s="1"/>
      <c r="AD132" s="1"/>
      <c r="AE132" s="1"/>
      <c r="AF132" s="1">
        <v>40344.25</v>
      </c>
      <c r="AG132" s="1"/>
      <c r="AH132" s="1"/>
      <c r="AI132" s="1"/>
      <c r="AJ132" s="1"/>
      <c r="AK132" s="1"/>
      <c r="AL132" s="1"/>
      <c r="AM132" s="1"/>
      <c r="AN132" s="1"/>
      <c r="AO132" s="1"/>
      <c r="AP132" s="1"/>
      <c r="AQ132" s="1"/>
      <c r="AR132" s="1"/>
      <c r="AS132" s="1"/>
      <c r="AT132" s="1"/>
      <c r="AU132" s="1"/>
      <c r="AV132" s="1">
        <v>40513.25</v>
      </c>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v>40602.25</v>
      </c>
      <c r="BZ132" s="1"/>
      <c r="CA132" s="1"/>
      <c r="CB132" s="1"/>
      <c r="CC132" s="1"/>
      <c r="CD132" s="1"/>
      <c r="CE132" s="1"/>
      <c r="CF132" s="1"/>
      <c r="CG132" s="1"/>
      <c r="CH132" s="1"/>
      <c r="CI132" s="1"/>
      <c r="CJ132" s="1"/>
      <c r="CK132" s="1"/>
      <c r="CL132" s="1"/>
      <c r="CM132" s="1"/>
      <c r="CN132" s="1"/>
      <c r="CO132" s="1"/>
      <c r="CP132" s="1"/>
      <c r="CQ132" s="1"/>
      <c r="CR132" s="1">
        <v>40627.208333333343</v>
      </c>
      <c r="CS132" s="1"/>
      <c r="CT132" s="1"/>
      <c r="CU132" s="1"/>
      <c r="CV132" s="1"/>
      <c r="CW132" s="1"/>
      <c r="CX132" s="1"/>
      <c r="CY132" s="1"/>
      <c r="CZ132" s="1"/>
      <c r="DA132" s="1"/>
      <c r="DB132" s="1"/>
      <c r="DC132" s="1"/>
      <c r="DD132" s="1">
        <v>40801.25</v>
      </c>
      <c r="DE132" s="1"/>
      <c r="DF132" s="1"/>
      <c r="DG132" s="1"/>
      <c r="DH132" s="1">
        <v>40805.25</v>
      </c>
      <c r="DI132" s="1"/>
      <c r="DJ132" s="1">
        <v>40805.25</v>
      </c>
      <c r="DK132" s="1"/>
      <c r="DL132" s="1">
        <v>40805.25</v>
      </c>
      <c r="DM132" s="1"/>
      <c r="DN132" s="1"/>
      <c r="DO132" s="1"/>
      <c r="DP132" s="1"/>
      <c r="DQ132" s="1"/>
      <c r="DR132" s="1"/>
      <c r="DS132" s="1"/>
      <c r="DT132" s="1"/>
      <c r="DU132" s="1"/>
      <c r="DV132" s="1"/>
      <c r="DW132" s="1"/>
      <c r="DX132" s="1"/>
      <c r="DY132" s="1">
        <v>40806.25</v>
      </c>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row>
    <row r="133" spans="1:216" x14ac:dyDescent="0.3">
      <c r="A133" s="3" t="str">
        <f>HYPERLINK("https://hpr-rps.hres.ca/reg-content/summary-basis-decision-detailOne.php?lang=en&amp;linkID=SBD00132", "Samsca TM")</f>
        <v>Samsca TM</v>
      </c>
      <c r="B133" s="1" t="s">
        <v>411</v>
      </c>
      <c r="C133" s="1" t="s">
        <v>412</v>
      </c>
      <c r="D133" s="1" t="s">
        <v>413</v>
      </c>
      <c r="E133" s="1"/>
      <c r="F133" s="1"/>
      <c r="G133" s="1"/>
      <c r="H133" s="1">
        <v>40408.25</v>
      </c>
      <c r="I133" s="1"/>
      <c r="J133" s="1"/>
      <c r="K133" s="1"/>
      <c r="L133" s="1"/>
      <c r="M133" s="1"/>
      <c r="N133" s="1"/>
      <c r="O133" s="1"/>
      <c r="P133" s="1"/>
      <c r="Q133" s="1"/>
      <c r="R133" s="1"/>
      <c r="S133" s="1"/>
      <c r="T133" s="1"/>
      <c r="U133" s="1"/>
      <c r="V133" s="1"/>
      <c r="W133" s="1"/>
      <c r="X133" s="1"/>
      <c r="Y133" s="1"/>
      <c r="Z133" s="1"/>
      <c r="AA133" s="1"/>
      <c r="AB133" s="1"/>
      <c r="AC133" s="1"/>
      <c r="AD133" s="1"/>
      <c r="AE133" s="1"/>
      <c r="AF133" s="1">
        <v>40450.25</v>
      </c>
      <c r="AG133" s="1"/>
      <c r="AH133" s="1"/>
      <c r="AI133" s="1"/>
      <c r="AJ133" s="1"/>
      <c r="AK133" s="1"/>
      <c r="AL133" s="1"/>
      <c r="AM133" s="1"/>
      <c r="AN133" s="1"/>
      <c r="AO133" s="1"/>
      <c r="AP133" s="1"/>
      <c r="AQ133" s="1"/>
      <c r="AR133" s="1">
        <v>40743.25</v>
      </c>
      <c r="AS133" s="1">
        <v>40696.25</v>
      </c>
      <c r="AT133" s="1"/>
      <c r="AU133" s="1"/>
      <c r="AV133" s="1">
        <v>40739.25</v>
      </c>
      <c r="AW133" s="1"/>
      <c r="AX133" s="1"/>
      <c r="AY133" s="1"/>
      <c r="AZ133" s="1">
        <v>40746.25</v>
      </c>
      <c r="BA133" s="1"/>
      <c r="BB133" s="1"/>
      <c r="BC133" s="1"/>
      <c r="BD133" s="1"/>
      <c r="BE133" s="1"/>
      <c r="BF133" s="1"/>
      <c r="BG133" s="1"/>
      <c r="BH133" s="1"/>
      <c r="BI133" s="1"/>
      <c r="BJ133" s="1"/>
      <c r="BK133" s="1"/>
      <c r="BL133" s="1"/>
      <c r="BM133" s="1">
        <v>40749.25</v>
      </c>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row>
    <row r="134" spans="1:216" x14ac:dyDescent="0.3">
      <c r="A134" s="3" t="str">
        <f>HYPERLINK("https://hpr-rps.hres.ca/reg-content/summary-basis-decision-detailOne.php?lang=en&amp;linkID=SBD00133", "Saphris TM")</f>
        <v>Saphris TM</v>
      </c>
      <c r="B134" s="1" t="s">
        <v>414</v>
      </c>
      <c r="C134" s="1" t="s">
        <v>415</v>
      </c>
      <c r="D134" s="1" t="s">
        <v>416</v>
      </c>
      <c r="E134" s="1">
        <v>40169.25</v>
      </c>
      <c r="F134" s="1"/>
      <c r="G134" s="1"/>
      <c r="H134" s="1">
        <v>40129.25</v>
      </c>
      <c r="I134" s="1"/>
      <c r="J134" s="1"/>
      <c r="K134" s="1"/>
      <c r="L134" s="1"/>
      <c r="M134" s="1"/>
      <c r="N134" s="1"/>
      <c r="O134" s="1"/>
      <c r="P134" s="1"/>
      <c r="Q134" s="1"/>
      <c r="R134" s="1"/>
      <c r="S134" s="1"/>
      <c r="T134" s="1"/>
      <c r="U134" s="1"/>
      <c r="V134" s="1"/>
      <c r="W134" s="1"/>
      <c r="X134" s="1"/>
      <c r="Y134" s="1"/>
      <c r="Z134" s="1"/>
      <c r="AA134" s="1"/>
      <c r="AB134" s="1"/>
      <c r="AC134" s="1"/>
      <c r="AD134" s="1"/>
      <c r="AE134" s="1"/>
      <c r="AF134" s="1">
        <v>40536.25</v>
      </c>
      <c r="AG134" s="1"/>
      <c r="AH134" s="1"/>
      <c r="AI134" s="1"/>
      <c r="AJ134" s="1"/>
      <c r="AK134" s="1"/>
      <c r="AL134" s="1"/>
      <c r="AM134" s="1"/>
      <c r="AN134" s="1"/>
      <c r="AO134" s="1"/>
      <c r="AP134" s="1"/>
      <c r="AQ134" s="1"/>
      <c r="AR134" s="1">
        <v>40823.25</v>
      </c>
      <c r="AS134" s="1"/>
      <c r="AT134" s="1"/>
      <c r="AU134" s="1"/>
      <c r="AV134" s="1">
        <v>40633.25</v>
      </c>
      <c r="AW134" s="1"/>
      <c r="AX134" s="1"/>
      <c r="AY134" s="1"/>
      <c r="AZ134" s="1">
        <v>40822.25</v>
      </c>
      <c r="BA134" s="1"/>
      <c r="BB134" s="1"/>
      <c r="BC134" s="1"/>
      <c r="BD134" s="1"/>
      <c r="BE134" s="1"/>
      <c r="BF134" s="1"/>
      <c r="BG134" s="1"/>
      <c r="BH134" s="1"/>
      <c r="BI134" s="1"/>
      <c r="BJ134" s="1"/>
      <c r="BK134" s="1"/>
      <c r="BL134" s="1"/>
      <c r="BM134" s="1">
        <v>40823.25</v>
      </c>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row>
    <row r="135" spans="1:216" x14ac:dyDescent="0.3">
      <c r="A135" s="3" t="str">
        <f>HYPERLINK("https://hpr-rps.hres.ca/reg-content/summary-basis-decision-detailOne.php?lang=en&amp;linkID=SBD00134", "Sebivo")</f>
        <v>Sebivo</v>
      </c>
      <c r="B135" s="1" t="s">
        <v>417</v>
      </c>
      <c r="C135" s="1" t="s">
        <v>87</v>
      </c>
      <c r="D135" s="1" t="s">
        <v>418</v>
      </c>
      <c r="E135" s="1"/>
      <c r="F135" s="1"/>
      <c r="G135" s="1"/>
      <c r="H135" s="1"/>
      <c r="I135" s="1"/>
      <c r="J135" s="1"/>
      <c r="K135" s="1"/>
      <c r="L135" s="1"/>
      <c r="M135" s="1"/>
      <c r="N135" s="1">
        <v>38782.25</v>
      </c>
      <c r="O135" s="1"/>
      <c r="P135" s="1"/>
      <c r="Q135" s="1"/>
      <c r="R135" s="1"/>
      <c r="S135" s="1">
        <v>38814.25</v>
      </c>
      <c r="T135" s="1"/>
      <c r="U135" s="1">
        <v>38814.25</v>
      </c>
      <c r="V135" s="1">
        <v>38782.25</v>
      </c>
      <c r="W135" s="1"/>
      <c r="X135" s="1"/>
      <c r="Y135" s="1"/>
      <c r="Z135" s="1"/>
      <c r="AA135" s="1">
        <v>39038.25</v>
      </c>
      <c r="AB135" s="1">
        <v>39028.25</v>
      </c>
      <c r="AC135" s="1"/>
      <c r="AD135" s="1"/>
      <c r="AE135" s="1">
        <v>38974.25</v>
      </c>
      <c r="AF135" s="1"/>
      <c r="AG135" s="1"/>
      <c r="AH135" s="1"/>
      <c r="AI135" s="1">
        <v>39030.25</v>
      </c>
      <c r="AJ135" s="1"/>
      <c r="AK135" s="1"/>
      <c r="AL135" s="1"/>
      <c r="AM135" s="1"/>
      <c r="AN135" s="1"/>
      <c r="AO135" s="1"/>
      <c r="AP135" s="1"/>
      <c r="AQ135" s="1"/>
      <c r="AR135" s="1"/>
      <c r="AS135" s="1"/>
      <c r="AT135" s="1"/>
      <c r="AU135" s="1"/>
      <c r="AV135" s="1">
        <v>39049.25</v>
      </c>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row>
    <row r="136" spans="1:216" x14ac:dyDescent="0.3">
      <c r="A136" s="3" t="str">
        <f>HYPERLINK("https://hpr-rps.hres.ca/reg-content/summary-basis-decision-detailOne.php?lang=en&amp;linkID=SBD00135", "Simponi TM")</f>
        <v>Simponi TM</v>
      </c>
      <c r="B136" s="1" t="s">
        <v>419</v>
      </c>
      <c r="C136" s="1" t="s">
        <v>420</v>
      </c>
      <c r="D136" s="1" t="s">
        <v>421</v>
      </c>
      <c r="E136" s="1">
        <v>39576.25</v>
      </c>
      <c r="F136" s="1"/>
      <c r="G136" s="1"/>
      <c r="H136" s="1">
        <v>39567.25</v>
      </c>
      <c r="I136" s="1"/>
      <c r="J136" s="1"/>
      <c r="K136" s="1"/>
      <c r="L136" s="1"/>
      <c r="M136" s="1"/>
      <c r="N136" s="1"/>
      <c r="O136" s="1"/>
      <c r="P136" s="1"/>
      <c r="Q136" s="1"/>
      <c r="R136" s="1"/>
      <c r="S136" s="1"/>
      <c r="T136" s="1"/>
      <c r="U136" s="1"/>
      <c r="V136" s="1"/>
      <c r="W136" s="1"/>
      <c r="X136" s="1"/>
      <c r="Y136" s="1"/>
      <c r="Z136" s="1"/>
      <c r="AA136" s="1"/>
      <c r="AB136" s="1"/>
      <c r="AC136" s="1"/>
      <c r="AD136" s="1"/>
      <c r="AE136" s="1"/>
      <c r="AF136" s="1">
        <v>39610.25</v>
      </c>
      <c r="AG136" s="1"/>
      <c r="AH136" s="1"/>
      <c r="AI136" s="1"/>
      <c r="AJ136" s="1"/>
      <c r="AK136" s="1"/>
      <c r="AL136" s="1"/>
      <c r="AM136" s="1"/>
      <c r="AN136" s="1"/>
      <c r="AO136" s="1">
        <v>39860.25</v>
      </c>
      <c r="AP136" s="1"/>
      <c r="AQ136" s="1"/>
      <c r="AR136" s="1">
        <v>39910.25</v>
      </c>
      <c r="AS136" s="1">
        <v>39910.25</v>
      </c>
      <c r="AT136" s="1"/>
      <c r="AU136" s="1"/>
      <c r="AV136" s="1">
        <v>39910.25</v>
      </c>
      <c r="AW136" s="1"/>
      <c r="AX136" s="1">
        <v>39910.25</v>
      </c>
      <c r="AY136" s="1"/>
      <c r="AZ136" s="1">
        <v>39910.25</v>
      </c>
      <c r="BA136" s="1"/>
      <c r="BB136" s="1"/>
      <c r="BC136" s="1"/>
      <c r="BD136" s="1"/>
      <c r="BE136" s="1"/>
      <c r="BF136" s="1"/>
      <c r="BG136" s="1"/>
      <c r="BH136" s="1"/>
      <c r="BI136" s="1"/>
      <c r="BJ136" s="1"/>
      <c r="BK136" s="1"/>
      <c r="BL136" s="1"/>
      <c r="BM136" s="1">
        <v>39910.25</v>
      </c>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row>
    <row r="137" spans="1:216" x14ac:dyDescent="0.3">
      <c r="A137" s="3" t="str">
        <f>HYPERLINK("https://hpr-rps.hres.ca/reg-content/summary-basis-decision-detailOne.php?lang=en&amp;linkID=SBD00136", "Soliris TM")</f>
        <v>Soliris TM</v>
      </c>
      <c r="B137" s="1" t="s">
        <v>422</v>
      </c>
      <c r="C137" s="1" t="s">
        <v>423</v>
      </c>
      <c r="D137" s="1" t="s">
        <v>424</v>
      </c>
      <c r="E137" s="1">
        <v>39420.25</v>
      </c>
      <c r="F137" s="1"/>
      <c r="G137" s="1"/>
      <c r="H137" s="1"/>
      <c r="I137" s="1"/>
      <c r="J137" s="1"/>
      <c r="K137" s="1"/>
      <c r="L137" s="1"/>
      <c r="M137" s="1"/>
      <c r="N137" s="1">
        <v>39556.25</v>
      </c>
      <c r="O137" s="1"/>
      <c r="P137" s="1"/>
      <c r="Q137" s="1"/>
      <c r="R137" s="1"/>
      <c r="S137" s="1">
        <v>39583.25</v>
      </c>
      <c r="T137" s="1"/>
      <c r="U137" s="1"/>
      <c r="V137" s="1">
        <v>39639.25</v>
      </c>
      <c r="W137" s="1"/>
      <c r="X137" s="1"/>
      <c r="Y137" s="1"/>
      <c r="Z137" s="1"/>
      <c r="AA137" s="1"/>
      <c r="AB137" s="1"/>
      <c r="AC137" s="1"/>
      <c r="AD137" s="1"/>
      <c r="AE137" s="1"/>
      <c r="AF137" s="1">
        <v>39661.25</v>
      </c>
      <c r="AG137" s="1"/>
      <c r="AH137" s="1"/>
      <c r="AI137" s="1"/>
      <c r="AJ137" s="1"/>
      <c r="AK137" s="1"/>
      <c r="AL137" s="1"/>
      <c r="AM137" s="1"/>
      <c r="AN137" s="1"/>
      <c r="AO137" s="1">
        <v>39785.25</v>
      </c>
      <c r="AP137" s="1"/>
      <c r="AQ137" s="1"/>
      <c r="AR137" s="1">
        <v>39836.25</v>
      </c>
      <c r="AS137" s="1"/>
      <c r="AT137" s="1"/>
      <c r="AU137" s="1"/>
      <c r="AV137" s="1">
        <v>39841.25</v>
      </c>
      <c r="AW137" s="1"/>
      <c r="AX137" s="1">
        <v>39841.25</v>
      </c>
      <c r="AY137" s="1"/>
      <c r="AZ137" s="1">
        <v>39841.25</v>
      </c>
      <c r="BA137" s="1"/>
      <c r="BB137" s="1"/>
      <c r="BC137" s="1"/>
      <c r="BD137" s="1"/>
      <c r="BE137" s="1"/>
      <c r="BF137" s="1"/>
      <c r="BG137" s="1"/>
      <c r="BH137" s="1"/>
      <c r="BI137" s="1"/>
      <c r="BJ137" s="1"/>
      <c r="BK137" s="1"/>
      <c r="BL137" s="1"/>
      <c r="BM137" s="1">
        <v>39475.25</v>
      </c>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row>
    <row r="138" spans="1:216" x14ac:dyDescent="0.3">
      <c r="A138" s="3" t="str">
        <f>HYPERLINK("https://hpr-rps.hres.ca/reg-content/summary-basis-decision-detailOne.php?lang=en&amp;linkID=SBD00137", "Somatuline ®")</f>
        <v>Somatuline ®</v>
      </c>
      <c r="B138" s="1" t="s">
        <v>425</v>
      </c>
      <c r="C138" s="1" t="s">
        <v>426</v>
      </c>
      <c r="D138" s="1" t="s">
        <v>427</v>
      </c>
      <c r="E138" s="1"/>
      <c r="F138" s="1"/>
      <c r="G138" s="1"/>
      <c r="H138" s="1">
        <v>38496.25</v>
      </c>
      <c r="I138" s="1"/>
      <c r="J138" s="1"/>
      <c r="K138" s="1"/>
      <c r="L138" s="1"/>
      <c r="M138" s="1"/>
      <c r="N138" s="1"/>
      <c r="O138" s="1"/>
      <c r="P138" s="1"/>
      <c r="Q138" s="1"/>
      <c r="R138" s="1"/>
      <c r="S138" s="1"/>
      <c r="T138" s="1"/>
      <c r="U138" s="1"/>
      <c r="V138" s="1"/>
      <c r="W138" s="1"/>
      <c r="X138" s="1"/>
      <c r="Y138" s="1"/>
      <c r="Z138" s="1">
        <v>38516.25</v>
      </c>
      <c r="AA138" s="1"/>
      <c r="AB138" s="1"/>
      <c r="AC138" s="1">
        <v>38541.25</v>
      </c>
      <c r="AD138" s="1"/>
      <c r="AE138" s="1"/>
      <c r="AF138" s="1">
        <v>38555.25</v>
      </c>
      <c r="AG138" s="1"/>
      <c r="AH138" s="1"/>
      <c r="AI138" s="1"/>
      <c r="AJ138" s="1"/>
      <c r="AK138" s="1"/>
      <c r="AL138" s="1"/>
      <c r="AM138" s="1"/>
      <c r="AN138" s="1"/>
      <c r="AO138" s="1"/>
      <c r="AP138" s="1"/>
      <c r="AQ138" s="1"/>
      <c r="AR138" s="1">
        <v>38861.25</v>
      </c>
      <c r="AS138" s="1"/>
      <c r="AT138" s="1"/>
      <c r="AU138" s="1"/>
      <c r="AV138" s="1">
        <v>38903.25</v>
      </c>
      <c r="AW138" s="1"/>
      <c r="AX138" s="1"/>
      <c r="AY138" s="1"/>
      <c r="AZ138" s="1">
        <v>38861.25</v>
      </c>
      <c r="BA138" s="1"/>
      <c r="BB138" s="1"/>
      <c r="BC138" s="1"/>
      <c r="BD138" s="1"/>
      <c r="BE138" s="1"/>
      <c r="BF138" s="1"/>
      <c r="BG138" s="1"/>
      <c r="BH138" s="1"/>
      <c r="BI138" s="1"/>
      <c r="BJ138" s="1"/>
      <c r="BK138" s="1"/>
      <c r="BL138" s="1"/>
      <c r="BM138" s="1">
        <v>38915.25</v>
      </c>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row>
    <row r="139" spans="1:216" x14ac:dyDescent="0.3">
      <c r="A139" s="3" t="str">
        <f>HYPERLINK("https://hpr-rps.hres.ca/reg-content/summary-basis-decision-detailOne.php?lang=en&amp;linkID=SBD00138", "Somavert")</f>
        <v>Somavert</v>
      </c>
      <c r="B139" s="1" t="s">
        <v>428</v>
      </c>
      <c r="C139" s="1" t="s">
        <v>143</v>
      </c>
      <c r="D139" s="1" t="s">
        <v>429</v>
      </c>
      <c r="E139" s="1">
        <v>37447.25</v>
      </c>
      <c r="F139" s="1">
        <v>37536.25</v>
      </c>
      <c r="G139" s="1"/>
      <c r="H139" s="1"/>
      <c r="I139" s="1"/>
      <c r="J139" s="1"/>
      <c r="K139" s="1"/>
      <c r="L139" s="1"/>
      <c r="M139" s="1"/>
      <c r="N139" s="1">
        <v>37554.25</v>
      </c>
      <c r="O139" s="1"/>
      <c r="P139" s="1"/>
      <c r="Q139" s="1"/>
      <c r="R139" s="1"/>
      <c r="S139" s="1">
        <v>37581.25</v>
      </c>
      <c r="T139" s="1"/>
      <c r="U139" s="1"/>
      <c r="V139" s="1">
        <v>37637.25</v>
      </c>
      <c r="W139" s="1"/>
      <c r="X139" s="1"/>
      <c r="Y139" s="1"/>
      <c r="Z139" s="1"/>
      <c r="AA139" s="1"/>
      <c r="AB139" s="1"/>
      <c r="AC139" s="1">
        <v>37956.25</v>
      </c>
      <c r="AD139" s="1">
        <v>37861.25</v>
      </c>
      <c r="AE139" s="1"/>
      <c r="AF139" s="1">
        <v>37662.25</v>
      </c>
      <c r="AG139" s="1"/>
      <c r="AH139" s="1"/>
      <c r="AI139" s="1"/>
      <c r="AJ139" s="1"/>
      <c r="AK139" s="1"/>
      <c r="AL139" s="1"/>
      <c r="AM139" s="1"/>
      <c r="AN139" s="1"/>
      <c r="AO139" s="1">
        <v>38132.25</v>
      </c>
      <c r="AP139" s="1"/>
      <c r="AQ139" s="1"/>
      <c r="AR139" s="1">
        <v>38590.25</v>
      </c>
      <c r="AS139" s="1"/>
      <c r="AT139" s="1"/>
      <c r="AU139" s="1"/>
      <c r="AV139" s="1">
        <v>38294.25</v>
      </c>
      <c r="AW139" s="1"/>
      <c r="AX139" s="1"/>
      <c r="AY139" s="1"/>
      <c r="AZ139" s="1">
        <v>38631.25</v>
      </c>
      <c r="BA139" s="1"/>
      <c r="BB139" s="1"/>
      <c r="BC139" s="1"/>
      <c r="BD139" s="1"/>
      <c r="BE139" s="1"/>
      <c r="BF139" s="1"/>
      <c r="BG139" s="1"/>
      <c r="BH139" s="1"/>
      <c r="BI139" s="1"/>
      <c r="BJ139" s="1"/>
      <c r="BK139" s="1"/>
      <c r="BL139" s="1"/>
      <c r="BM139" s="1">
        <v>38642.25</v>
      </c>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row>
    <row r="140" spans="1:216" x14ac:dyDescent="0.3">
      <c r="A140" s="3" t="str">
        <f>HYPERLINK("https://hpr-rps.hres.ca/reg-content/summary-basis-decision-detailOne.php?lang=en&amp;linkID=SBD00139", "Sprycel")</f>
        <v>Sprycel</v>
      </c>
      <c r="B140" s="1" t="s">
        <v>430</v>
      </c>
      <c r="C140" s="1" t="s">
        <v>81</v>
      </c>
      <c r="D140" s="1" t="s">
        <v>431</v>
      </c>
      <c r="E140" s="1">
        <v>38671.25</v>
      </c>
      <c r="F140" s="1"/>
      <c r="G140" s="1"/>
      <c r="H140" s="1">
        <v>38805.291666666657</v>
      </c>
      <c r="I140" s="1"/>
      <c r="J140" s="1"/>
      <c r="K140" s="1"/>
      <c r="L140" s="1"/>
      <c r="M140" s="1"/>
      <c r="N140" s="1"/>
      <c r="O140" s="1"/>
      <c r="P140" s="1"/>
      <c r="Q140" s="1"/>
      <c r="R140" s="1"/>
      <c r="S140" s="1"/>
      <c r="T140" s="1"/>
      <c r="U140" s="1"/>
      <c r="V140" s="1"/>
      <c r="W140" s="1"/>
      <c r="X140" s="1"/>
      <c r="Y140" s="1"/>
      <c r="Z140" s="1">
        <v>38835.25</v>
      </c>
      <c r="AA140" s="1"/>
      <c r="AB140" s="1"/>
      <c r="AC140" s="1">
        <v>38862.25</v>
      </c>
      <c r="AD140" s="1"/>
      <c r="AE140" s="1"/>
      <c r="AF140" s="1">
        <v>38890.25</v>
      </c>
      <c r="AG140" s="1"/>
      <c r="AH140" s="1"/>
      <c r="AI140" s="1"/>
      <c r="AJ140" s="1"/>
      <c r="AK140" s="1"/>
      <c r="AL140" s="1"/>
      <c r="AM140" s="1"/>
      <c r="AN140" s="1"/>
      <c r="AO140" s="1"/>
      <c r="AP140" s="1"/>
      <c r="AQ140" s="1"/>
      <c r="AR140" s="1">
        <v>39098.25</v>
      </c>
      <c r="AS140" s="1">
        <v>39063.25</v>
      </c>
      <c r="AT140" s="1"/>
      <c r="AU140" s="1"/>
      <c r="AV140" s="1">
        <v>39064.25</v>
      </c>
      <c r="AW140" s="1"/>
      <c r="AX140" s="1"/>
      <c r="AY140" s="1"/>
      <c r="AZ140" s="1">
        <v>39098.25</v>
      </c>
      <c r="BA140" s="1"/>
      <c r="BB140" s="1"/>
      <c r="BC140" s="1"/>
      <c r="BD140" s="1"/>
      <c r="BE140" s="1"/>
      <c r="BF140" s="1"/>
      <c r="BG140" s="1"/>
      <c r="BH140" s="1"/>
      <c r="BI140" s="1"/>
      <c r="BJ140" s="1"/>
      <c r="BK140" s="1">
        <v>39099.25</v>
      </c>
      <c r="BL140" s="1"/>
      <c r="BM140" s="1"/>
      <c r="BN140" s="1"/>
      <c r="BO140" s="1"/>
      <c r="BP140" s="1"/>
      <c r="BQ140" s="1"/>
      <c r="BR140" s="1"/>
      <c r="BS140" s="1"/>
      <c r="BT140" s="1"/>
      <c r="BU140" s="1"/>
      <c r="BV140" s="1"/>
      <c r="BW140" s="1"/>
      <c r="BX140" s="1"/>
      <c r="BY140" s="1"/>
      <c r="BZ140" s="1"/>
      <c r="CA140" s="1"/>
      <c r="CB140" s="1"/>
      <c r="CC140" s="1">
        <v>39112.25</v>
      </c>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v>39167.25</v>
      </c>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row>
    <row r="141" spans="1:216" x14ac:dyDescent="0.3">
      <c r="A141" s="3" t="str">
        <f>HYPERLINK("https://hpr-rps.hres.ca/reg-content/summary-basis-decision-detailOne.php?lang=en&amp;linkID=SBD00140", "Stelara")</f>
        <v>Stelara</v>
      </c>
      <c r="B141" s="1" t="s">
        <v>432</v>
      </c>
      <c r="C141" s="1" t="s">
        <v>196</v>
      </c>
      <c r="D141" s="1" t="s">
        <v>433</v>
      </c>
      <c r="E141" s="1">
        <v>39371.25</v>
      </c>
      <c r="F141" s="1"/>
      <c r="G141" s="1"/>
      <c r="H141" s="1">
        <v>39444.25</v>
      </c>
      <c r="I141" s="1"/>
      <c r="J141" s="1"/>
      <c r="K141" s="1"/>
      <c r="L141" s="1"/>
      <c r="M141" s="1"/>
      <c r="N141" s="1"/>
      <c r="O141" s="1"/>
      <c r="P141" s="1"/>
      <c r="Q141" s="1"/>
      <c r="R141" s="1"/>
      <c r="S141" s="1"/>
      <c r="T141" s="1"/>
      <c r="U141" s="1"/>
      <c r="V141" s="1"/>
      <c r="W141" s="1"/>
      <c r="X141" s="1"/>
      <c r="Y141" s="1"/>
      <c r="Z141" s="1"/>
      <c r="AA141" s="1"/>
      <c r="AB141" s="1"/>
      <c r="AC141" s="1"/>
      <c r="AD141" s="1"/>
      <c r="AE141" s="1"/>
      <c r="AF141" s="1">
        <v>39496.25</v>
      </c>
      <c r="AG141" s="1"/>
      <c r="AH141" s="1"/>
      <c r="AI141" s="1"/>
      <c r="AJ141" s="1"/>
      <c r="AK141" s="1"/>
      <c r="AL141" s="1"/>
      <c r="AM141" s="1"/>
      <c r="AN141" s="1"/>
      <c r="AO141" s="1">
        <v>39580.25</v>
      </c>
      <c r="AP141" s="1"/>
      <c r="AQ141" s="1"/>
      <c r="AR141" s="1">
        <v>39785.25</v>
      </c>
      <c r="AS141" s="1"/>
      <c r="AT141" s="1"/>
      <c r="AU141" s="1"/>
      <c r="AV141" s="1">
        <v>39794.25</v>
      </c>
      <c r="AW141" s="1"/>
      <c r="AX141" s="1"/>
      <c r="AY141" s="1"/>
      <c r="AZ141" s="1">
        <v>39794.25</v>
      </c>
      <c r="BA141" s="1"/>
      <c r="BB141" s="1"/>
      <c r="BC141" s="1"/>
      <c r="BD141" s="1"/>
      <c r="BE141" s="1"/>
      <c r="BF141" s="1"/>
      <c r="BG141" s="1"/>
      <c r="BH141" s="1"/>
      <c r="BI141" s="1"/>
      <c r="BJ141" s="1"/>
      <c r="BK141" s="1"/>
      <c r="BL141" s="1"/>
      <c r="BM141" s="1">
        <v>39794.25</v>
      </c>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row>
    <row r="142" spans="1:216" x14ac:dyDescent="0.3">
      <c r="A142" s="3" t="str">
        <f>HYPERLINK("https://hpr-rps.hres.ca/reg-content/summary-basis-decision-detailOne.php?lang=en&amp;linkID=SBD00142", "Swish Silver Supreme")</f>
        <v>Swish Silver Supreme</v>
      </c>
      <c r="B142" s="1" t="s">
        <v>434</v>
      </c>
      <c r="C142" s="1" t="s">
        <v>435</v>
      </c>
      <c r="D142" s="1" t="s">
        <v>436</v>
      </c>
      <c r="E142" s="1">
        <v>39342.25</v>
      </c>
      <c r="F142" s="1"/>
      <c r="G142" s="1"/>
      <c r="H142" s="1">
        <v>39533.208333333343</v>
      </c>
      <c r="I142" s="1"/>
      <c r="J142" s="1"/>
      <c r="K142" s="1"/>
      <c r="L142" s="1"/>
      <c r="M142" s="1"/>
      <c r="N142" s="1"/>
      <c r="O142" s="1"/>
      <c r="P142" s="1"/>
      <c r="Q142" s="1"/>
      <c r="R142" s="1"/>
      <c r="S142" s="1"/>
      <c r="T142" s="1"/>
      <c r="U142" s="1"/>
      <c r="V142" s="1"/>
      <c r="W142" s="1"/>
      <c r="X142" s="1"/>
      <c r="Y142" s="1"/>
      <c r="Z142" s="1"/>
      <c r="AA142" s="1"/>
      <c r="AB142" s="1"/>
      <c r="AC142" s="1"/>
      <c r="AD142" s="1"/>
      <c r="AE142" s="1"/>
      <c r="AF142" s="1">
        <v>39568.25</v>
      </c>
      <c r="AG142" s="1"/>
      <c r="AH142" s="1"/>
      <c r="AI142" s="1"/>
      <c r="AJ142" s="1"/>
      <c r="AK142" s="1"/>
      <c r="AL142" s="1"/>
      <c r="AM142" s="1"/>
      <c r="AN142" s="1"/>
      <c r="AO142" s="1"/>
      <c r="AP142" s="1"/>
      <c r="AQ142" s="1"/>
      <c r="AR142" s="1">
        <v>40077.25</v>
      </c>
      <c r="AS142" s="1"/>
      <c r="AT142" s="1"/>
      <c r="AU142" s="1"/>
      <c r="AV142" s="1">
        <v>40074.25</v>
      </c>
      <c r="AW142" s="1">
        <v>40077.25</v>
      </c>
      <c r="AX142" s="1"/>
      <c r="AY142" s="1"/>
      <c r="AZ142" s="1"/>
      <c r="BA142" s="1"/>
      <c r="BB142" s="1"/>
      <c r="BC142" s="1"/>
      <c r="BD142" s="1"/>
      <c r="BE142" s="1"/>
      <c r="BF142" s="1"/>
      <c r="BG142" s="1"/>
      <c r="BH142" s="1"/>
      <c r="BI142" s="1"/>
      <c r="BJ142" s="1"/>
      <c r="BK142" s="1"/>
      <c r="BL142" s="1"/>
      <c r="BM142" s="1">
        <v>40099.25</v>
      </c>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row>
    <row r="143" spans="1:216" x14ac:dyDescent="0.3">
      <c r="A143" s="3" t="str">
        <f>HYPERLINK("https://hpr-rps.hres.ca/reg-content/summary-basis-decision-detailOne.php?lang=en&amp;linkID=SBD00143", "Synflorix TM")</f>
        <v>Synflorix TM</v>
      </c>
      <c r="B143" s="1" t="s">
        <v>437</v>
      </c>
      <c r="C143" s="1" t="s">
        <v>96</v>
      </c>
      <c r="D143" s="1" t="s">
        <v>438</v>
      </c>
      <c r="E143" s="1">
        <v>39184.25</v>
      </c>
      <c r="F143" s="1"/>
      <c r="G143" s="1"/>
      <c r="H143" s="1">
        <v>39435.25</v>
      </c>
      <c r="I143" s="1"/>
      <c r="J143" s="1"/>
      <c r="K143" s="1"/>
      <c r="L143" s="1"/>
      <c r="M143" s="1"/>
      <c r="N143" s="1"/>
      <c r="O143" s="1"/>
      <c r="P143" s="1"/>
      <c r="Q143" s="1"/>
      <c r="R143" s="1"/>
      <c r="S143" s="1"/>
      <c r="T143" s="1"/>
      <c r="U143" s="1"/>
      <c r="V143" s="1"/>
      <c r="W143" s="1"/>
      <c r="X143" s="1"/>
      <c r="Y143" s="1"/>
      <c r="Z143" s="1"/>
      <c r="AA143" s="1"/>
      <c r="AB143" s="1"/>
      <c r="AC143" s="1"/>
      <c r="AD143" s="1"/>
      <c r="AE143" s="1">
        <v>39451.25</v>
      </c>
      <c r="AF143" s="1">
        <v>39493.25</v>
      </c>
      <c r="AG143" s="1"/>
      <c r="AH143" s="1"/>
      <c r="AI143" s="1"/>
      <c r="AJ143" s="1"/>
      <c r="AK143" s="1"/>
      <c r="AL143" s="1"/>
      <c r="AM143" s="1"/>
      <c r="AN143" s="1"/>
      <c r="AO143" s="1">
        <v>39745.25</v>
      </c>
      <c r="AP143" s="1"/>
      <c r="AQ143" s="1"/>
      <c r="AR143" s="1">
        <v>39792.25</v>
      </c>
      <c r="AS143" s="1"/>
      <c r="AT143" s="1"/>
      <c r="AU143" s="1"/>
      <c r="AV143" s="1">
        <v>39792.25</v>
      </c>
      <c r="AW143" s="1"/>
      <c r="AX143" s="1"/>
      <c r="AY143" s="1"/>
      <c r="AZ143" s="1">
        <v>39792.25</v>
      </c>
      <c r="BA143" s="1"/>
      <c r="BB143" s="1"/>
      <c r="BC143" s="1"/>
      <c r="BD143" s="1"/>
      <c r="BE143" s="1"/>
      <c r="BF143" s="1"/>
      <c r="BG143" s="1"/>
      <c r="BH143" s="1"/>
      <c r="BI143" s="1"/>
      <c r="BJ143" s="1"/>
      <c r="BK143" s="1"/>
      <c r="BL143" s="1"/>
      <c r="BM143" s="1">
        <v>39793.25</v>
      </c>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row>
    <row r="144" spans="1:216" x14ac:dyDescent="0.3">
      <c r="A144" s="3" t="str">
        <f>HYPERLINK("https://hpr-rps.hres.ca/reg-content/summary-basis-decision-detailOne.php?lang=en&amp;linkID=SBD00145", "Tasigna")</f>
        <v>Tasigna</v>
      </c>
      <c r="B144" s="1" t="s">
        <v>439</v>
      </c>
      <c r="C144" s="1" t="s">
        <v>87</v>
      </c>
      <c r="D144" s="1" t="s">
        <v>440</v>
      </c>
      <c r="E144" s="1"/>
      <c r="F144" s="1"/>
      <c r="G144" s="1">
        <v>39031.25</v>
      </c>
      <c r="H144" s="1">
        <v>39056.25</v>
      </c>
      <c r="I144" s="1"/>
      <c r="J144" s="1"/>
      <c r="K144" s="1"/>
      <c r="L144" s="1"/>
      <c r="M144" s="1"/>
      <c r="N144" s="1"/>
      <c r="O144" s="1"/>
      <c r="P144" s="1"/>
      <c r="Q144" s="1"/>
      <c r="R144" s="1"/>
      <c r="S144" s="1"/>
      <c r="T144" s="1"/>
      <c r="U144" s="1"/>
      <c r="V144" s="1"/>
      <c r="W144" s="1"/>
      <c r="X144" s="1"/>
      <c r="Y144" s="1"/>
      <c r="Z144" s="1"/>
      <c r="AA144" s="1"/>
      <c r="AB144" s="1"/>
      <c r="AC144" s="1"/>
      <c r="AD144" s="1"/>
      <c r="AE144" s="1"/>
      <c r="AF144" s="1">
        <v>39079.25</v>
      </c>
      <c r="AG144" s="1"/>
      <c r="AH144" s="1"/>
      <c r="AI144" s="1"/>
      <c r="AJ144" s="1"/>
      <c r="AK144" s="1"/>
      <c r="AL144" s="1"/>
      <c r="AM144" s="1"/>
      <c r="AN144" s="1"/>
      <c r="AO144" s="1"/>
      <c r="AP144" s="1"/>
      <c r="AQ144" s="1"/>
      <c r="AR144" s="1"/>
      <c r="AS144" s="1"/>
      <c r="AT144" s="1"/>
      <c r="AU144" s="1"/>
      <c r="AV144" s="1">
        <v>39275.25</v>
      </c>
      <c r="AW144" s="1"/>
      <c r="AX144" s="1"/>
      <c r="AY144" s="1"/>
      <c r="AZ144" s="1">
        <v>39266.25</v>
      </c>
      <c r="BA144" s="1"/>
      <c r="BB144" s="1"/>
      <c r="BC144" s="1"/>
      <c r="BD144" s="1"/>
      <c r="BE144" s="1"/>
      <c r="BF144" s="1"/>
      <c r="BG144" s="1"/>
      <c r="BH144" s="1"/>
      <c r="BI144" s="1"/>
      <c r="BJ144" s="1"/>
      <c r="BK144" s="1"/>
      <c r="BL144" s="1"/>
      <c r="BM144" s="1"/>
      <c r="BN144" s="1"/>
      <c r="BO144" s="1"/>
      <c r="BP144" s="1"/>
      <c r="BQ144" s="1"/>
      <c r="BR144" s="1"/>
      <c r="BS144" s="1"/>
      <c r="BT144" s="1">
        <v>39276.25</v>
      </c>
      <c r="BU144" s="1"/>
      <c r="BV144" s="1"/>
      <c r="BW144" s="1"/>
      <c r="BX144" s="1"/>
      <c r="BY144" s="1">
        <v>39358.25</v>
      </c>
      <c r="BZ144" s="1"/>
      <c r="CA144" s="1"/>
      <c r="CB144" s="1"/>
      <c r="CC144" s="1"/>
      <c r="CD144" s="1"/>
      <c r="CE144" s="1"/>
      <c r="CF144" s="1"/>
      <c r="CG144" s="1"/>
      <c r="CH144" s="1"/>
      <c r="CI144" s="1"/>
      <c r="CJ144" s="1"/>
      <c r="CK144" s="1"/>
      <c r="CL144" s="1"/>
      <c r="CM144" s="1"/>
      <c r="CN144" s="1"/>
      <c r="CO144" s="1"/>
      <c r="CP144" s="1"/>
      <c r="CQ144" s="1"/>
      <c r="CR144" s="1">
        <v>39381.25</v>
      </c>
      <c r="CS144" s="1"/>
      <c r="CT144" s="1"/>
      <c r="CU144" s="1"/>
      <c r="CV144" s="1"/>
      <c r="CW144" s="1"/>
      <c r="CX144" s="1"/>
      <c r="CY144" s="1"/>
      <c r="CZ144" s="1"/>
      <c r="DA144" s="1"/>
      <c r="DB144" s="1"/>
      <c r="DC144" s="1"/>
      <c r="DD144" s="1">
        <v>39696.25</v>
      </c>
      <c r="DE144" s="1"/>
      <c r="DF144" s="1"/>
      <c r="DG144" s="1"/>
      <c r="DH144" s="1">
        <v>39469.25</v>
      </c>
      <c r="DI144" s="1"/>
      <c r="DJ144" s="1"/>
      <c r="DK144" s="1"/>
      <c r="DL144" s="1">
        <v>39696.25</v>
      </c>
      <c r="DM144" s="1"/>
      <c r="DN144" s="1"/>
      <c r="DO144" s="1"/>
      <c r="DP144" s="1"/>
      <c r="DQ144" s="1"/>
      <c r="DR144" s="1"/>
      <c r="DS144" s="1"/>
      <c r="DT144" s="1"/>
      <c r="DU144" s="1"/>
      <c r="DV144" s="1"/>
      <c r="DW144" s="1"/>
      <c r="DX144" s="1">
        <v>39633.25</v>
      </c>
      <c r="DY144" s="1">
        <v>39700.25</v>
      </c>
      <c r="DZ144" s="1"/>
      <c r="EA144" s="1"/>
      <c r="EB144" s="1"/>
      <c r="EC144" s="1"/>
      <c r="ED144" s="1"/>
      <c r="EE144" s="1"/>
      <c r="EF144" s="1"/>
      <c r="EG144" s="1"/>
      <c r="EH144" s="1"/>
      <c r="EI144" s="1"/>
      <c r="EJ144" s="1"/>
      <c r="EK144" s="1">
        <v>39673.25</v>
      </c>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row>
    <row r="145" spans="1:216" x14ac:dyDescent="0.3">
      <c r="A145" s="3" t="str">
        <f>HYPERLINK("https://hpr-rps.hres.ca/reg-content/summary-basis-decision-detailOne.php?lang=en&amp;linkID=SBD00146", "Thelin TM")</f>
        <v>Thelin TM</v>
      </c>
      <c r="B145" s="1" t="s">
        <v>441</v>
      </c>
      <c r="C145" s="1" t="s">
        <v>442</v>
      </c>
      <c r="D145" s="1" t="s">
        <v>443</v>
      </c>
      <c r="E145" s="1">
        <v>38594.25</v>
      </c>
      <c r="F145" s="1"/>
      <c r="G145" s="1"/>
      <c r="H145" s="1"/>
      <c r="I145" s="1"/>
      <c r="J145" s="1"/>
      <c r="K145" s="1"/>
      <c r="L145" s="1"/>
      <c r="M145" s="1"/>
      <c r="N145" s="1">
        <v>38602.25</v>
      </c>
      <c r="O145" s="1"/>
      <c r="P145" s="1"/>
      <c r="Q145" s="1"/>
      <c r="R145" s="1"/>
      <c r="S145" s="1"/>
      <c r="T145" s="1">
        <v>38628.25</v>
      </c>
      <c r="U145" s="1"/>
      <c r="V145" s="1">
        <v>38649.25</v>
      </c>
      <c r="W145" s="1"/>
      <c r="X145" s="1"/>
      <c r="Y145" s="1"/>
      <c r="Z145" s="1">
        <v>38695.25</v>
      </c>
      <c r="AA145" s="1"/>
      <c r="AB145" s="1"/>
      <c r="AC145" s="1">
        <v>38708.25</v>
      </c>
      <c r="AD145" s="1"/>
      <c r="AE145" s="1"/>
      <c r="AF145" s="1">
        <v>38770.25</v>
      </c>
      <c r="AG145" s="1"/>
      <c r="AH145" s="1"/>
      <c r="AI145" s="1"/>
      <c r="AJ145" s="1"/>
      <c r="AK145" s="1"/>
      <c r="AL145" s="1"/>
      <c r="AM145" s="1"/>
      <c r="AN145" s="1"/>
      <c r="AO145" s="1"/>
      <c r="AP145" s="1"/>
      <c r="AQ145" s="1"/>
      <c r="AR145" s="1"/>
      <c r="AS145" s="1">
        <v>39002.25</v>
      </c>
      <c r="AT145" s="1"/>
      <c r="AU145" s="1"/>
      <c r="AV145" s="1">
        <v>39049.25</v>
      </c>
      <c r="AW145" s="1"/>
      <c r="AX145" s="1"/>
      <c r="AY145" s="1"/>
      <c r="AZ145" s="1">
        <v>39058.25</v>
      </c>
      <c r="BA145" s="1"/>
      <c r="BB145" s="1"/>
      <c r="BC145" s="1"/>
      <c r="BD145" s="1"/>
      <c r="BE145" s="1"/>
      <c r="BF145" s="1"/>
      <c r="BG145" s="1"/>
      <c r="BH145" s="1"/>
      <c r="BI145" s="1"/>
      <c r="BJ145" s="1"/>
      <c r="BK145" s="1"/>
      <c r="BL145" s="1"/>
      <c r="BM145" s="1"/>
      <c r="BN145" s="1"/>
      <c r="BO145" s="1"/>
      <c r="BP145" s="1"/>
      <c r="BQ145" s="1"/>
      <c r="BR145" s="1"/>
      <c r="BS145" s="1"/>
      <c r="BT145" s="1">
        <v>39063.25</v>
      </c>
      <c r="BU145" s="1"/>
      <c r="BV145" s="1"/>
      <c r="BW145" s="1"/>
      <c r="BX145" s="1"/>
      <c r="BY145" s="1">
        <v>39078.25</v>
      </c>
      <c r="BZ145" s="1"/>
      <c r="CA145" s="1"/>
      <c r="CB145" s="1"/>
      <c r="CC145" s="1"/>
      <c r="CD145" s="1"/>
      <c r="CE145" s="1"/>
      <c r="CF145" s="1"/>
      <c r="CG145" s="1"/>
      <c r="CH145" s="1"/>
      <c r="CI145" s="1"/>
      <c r="CJ145" s="1"/>
      <c r="CK145" s="1"/>
      <c r="CL145" s="1"/>
      <c r="CM145" s="1"/>
      <c r="CN145" s="1"/>
      <c r="CO145" s="1"/>
      <c r="CP145" s="1"/>
      <c r="CQ145" s="1"/>
      <c r="CR145" s="1">
        <v>39085.25</v>
      </c>
      <c r="CS145" s="1"/>
      <c r="CT145" s="1"/>
      <c r="CU145" s="1"/>
      <c r="CV145" s="1"/>
      <c r="CW145" s="1"/>
      <c r="CX145" s="1"/>
      <c r="CY145" s="1"/>
      <c r="CZ145" s="1"/>
      <c r="DA145" s="1"/>
      <c r="DB145" s="1"/>
      <c r="DC145" s="1"/>
      <c r="DD145" s="1">
        <v>39209.25</v>
      </c>
      <c r="DE145" s="1"/>
      <c r="DF145" s="1"/>
      <c r="DG145" s="1"/>
      <c r="DH145" s="1">
        <v>39211.25</v>
      </c>
      <c r="DI145" s="1"/>
      <c r="DJ145" s="1"/>
      <c r="DK145" s="1"/>
      <c r="DL145" s="1">
        <v>39225.25</v>
      </c>
      <c r="DM145" s="1"/>
      <c r="DN145" s="1"/>
      <c r="DO145" s="1"/>
      <c r="DP145" s="1"/>
      <c r="DQ145" s="1"/>
      <c r="DR145" s="1"/>
      <c r="DS145" s="1"/>
      <c r="DT145" s="1"/>
      <c r="DU145" s="1"/>
      <c r="DV145" s="1"/>
      <c r="DW145" s="1"/>
      <c r="DX145" s="1"/>
      <c r="DY145" s="1">
        <v>39232.25</v>
      </c>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row>
    <row r="146" spans="1:216" x14ac:dyDescent="0.3">
      <c r="A146" s="3" t="str">
        <f>HYPERLINK("https://hpr-rps.hres.ca/reg-content/summary-basis-decision-detailOne.php?lang=en&amp;linkID=SBD00147", "Toctino")</f>
        <v>Toctino</v>
      </c>
      <c r="B146" s="1" t="s">
        <v>444</v>
      </c>
      <c r="C146" s="1" t="s">
        <v>445</v>
      </c>
      <c r="D146" s="1" t="s">
        <v>446</v>
      </c>
      <c r="E146" s="1">
        <v>38693.25</v>
      </c>
      <c r="F146" s="1"/>
      <c r="G146" s="1"/>
      <c r="H146" s="1">
        <v>39435.25</v>
      </c>
      <c r="I146" s="1"/>
      <c r="J146" s="1"/>
      <c r="K146" s="1"/>
      <c r="L146" s="1"/>
      <c r="M146" s="1"/>
      <c r="N146" s="1"/>
      <c r="O146" s="1"/>
      <c r="P146" s="1"/>
      <c r="Q146" s="1"/>
      <c r="R146" s="1"/>
      <c r="S146" s="1"/>
      <c r="T146" s="1"/>
      <c r="U146" s="1"/>
      <c r="V146" s="1"/>
      <c r="W146" s="1"/>
      <c r="X146" s="1"/>
      <c r="Y146" s="1"/>
      <c r="Z146" s="1">
        <v>39489.25</v>
      </c>
      <c r="AA146" s="1"/>
      <c r="AB146" s="1"/>
      <c r="AC146" s="1">
        <v>39517.208333333343</v>
      </c>
      <c r="AD146" s="1"/>
      <c r="AE146" s="1"/>
      <c r="AF146" s="1">
        <v>39555.25</v>
      </c>
      <c r="AG146" s="1"/>
      <c r="AH146" s="1"/>
      <c r="AI146" s="1"/>
      <c r="AJ146" s="1"/>
      <c r="AK146" s="1"/>
      <c r="AL146" s="1"/>
      <c r="AM146" s="1"/>
      <c r="AN146" s="1">
        <v>39926.25</v>
      </c>
      <c r="AO146" s="1"/>
      <c r="AP146" s="1"/>
      <c r="AQ146" s="1"/>
      <c r="AR146" s="1"/>
      <c r="AS146" s="1">
        <v>39853.25</v>
      </c>
      <c r="AT146" s="1"/>
      <c r="AU146" s="1"/>
      <c r="AV146" s="1">
        <v>39853.25</v>
      </c>
      <c r="AW146" s="1"/>
      <c r="AX146" s="1"/>
      <c r="AY146" s="1"/>
      <c r="AZ146" s="1">
        <v>39853.25</v>
      </c>
      <c r="BA146" s="1"/>
      <c r="BB146" s="1"/>
      <c r="BC146" s="1"/>
      <c r="BD146" s="1"/>
      <c r="BE146" s="1"/>
      <c r="BF146" s="1"/>
      <c r="BG146" s="1"/>
      <c r="BH146" s="1"/>
      <c r="BI146" s="1"/>
      <c r="BJ146" s="1"/>
      <c r="BK146" s="1"/>
      <c r="BL146" s="1"/>
      <c r="BM146" s="1"/>
      <c r="BN146" s="1"/>
      <c r="BO146" s="1"/>
      <c r="BP146" s="1"/>
      <c r="BQ146" s="1"/>
      <c r="BR146" s="1"/>
      <c r="BS146" s="1"/>
      <c r="BT146" s="1">
        <v>39855.25</v>
      </c>
      <c r="BU146" s="1"/>
      <c r="BV146" s="1"/>
      <c r="BW146" s="1"/>
      <c r="BX146" s="1"/>
      <c r="BY146" s="1">
        <v>39941.25</v>
      </c>
      <c r="BZ146" s="1"/>
      <c r="CA146" s="1"/>
      <c r="CB146" s="1"/>
      <c r="CC146" s="1"/>
      <c r="CD146" s="1"/>
      <c r="CE146" s="1"/>
      <c r="CF146" s="1"/>
      <c r="CG146" s="1"/>
      <c r="CH146" s="1"/>
      <c r="CI146" s="1"/>
      <c r="CJ146" s="1"/>
      <c r="CK146" s="1"/>
      <c r="CL146" s="1"/>
      <c r="CM146" s="1"/>
      <c r="CN146" s="1"/>
      <c r="CO146" s="1"/>
      <c r="CP146" s="1"/>
      <c r="CQ146" s="1"/>
      <c r="CR146" s="1">
        <v>39981.25</v>
      </c>
      <c r="CS146" s="1"/>
      <c r="CT146" s="1"/>
      <c r="CU146" s="1"/>
      <c r="CV146" s="1"/>
      <c r="CW146" s="1"/>
      <c r="CX146" s="1"/>
      <c r="CY146" s="1"/>
      <c r="CZ146" s="1"/>
      <c r="DA146" s="1"/>
      <c r="DB146" s="1"/>
      <c r="DC146" s="1"/>
      <c r="DD146" s="1">
        <v>40129.25</v>
      </c>
      <c r="DE146" s="1">
        <v>40105.25</v>
      </c>
      <c r="DF146" s="1"/>
      <c r="DG146" s="1"/>
      <c r="DH146" s="1"/>
      <c r="DI146" s="1"/>
      <c r="DJ146" s="1"/>
      <c r="DK146" s="1"/>
      <c r="DL146" s="1">
        <v>40113.208333333343</v>
      </c>
      <c r="DM146" s="1"/>
      <c r="DN146" s="1"/>
      <c r="DO146" s="1"/>
      <c r="DP146" s="1"/>
      <c r="DQ146" s="1"/>
      <c r="DR146" s="1"/>
      <c r="DS146" s="1"/>
      <c r="DT146" s="1"/>
      <c r="DU146" s="1"/>
      <c r="DV146" s="1"/>
      <c r="DW146" s="1"/>
      <c r="DX146" s="1"/>
      <c r="DY146" s="1">
        <v>40130.25</v>
      </c>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row>
    <row r="147" spans="1:216" x14ac:dyDescent="0.3">
      <c r="A147" s="3" t="str">
        <f>HYPERLINK("https://hpr-rps.hres.ca/reg-content/summary-basis-decision-detailOne.php?lang=en&amp;linkID=SBD00163", "Zeftera")</f>
        <v>Zeftera</v>
      </c>
      <c r="B147" s="1" t="s">
        <v>447</v>
      </c>
      <c r="C147" s="1" t="s">
        <v>196</v>
      </c>
      <c r="D147" s="1" t="s">
        <v>448</v>
      </c>
      <c r="E147" s="1"/>
      <c r="F147" s="1"/>
      <c r="G147" s="1"/>
      <c r="H147" s="1">
        <v>39279.25</v>
      </c>
      <c r="I147" s="1"/>
      <c r="J147" s="1"/>
      <c r="K147" s="1"/>
      <c r="L147" s="1"/>
      <c r="M147" s="1"/>
      <c r="N147" s="1"/>
      <c r="O147" s="1"/>
      <c r="P147" s="1"/>
      <c r="Q147" s="1"/>
      <c r="R147" s="1"/>
      <c r="S147" s="1"/>
      <c r="T147" s="1"/>
      <c r="U147" s="1"/>
      <c r="V147" s="1"/>
      <c r="W147" s="1"/>
      <c r="X147" s="1"/>
      <c r="Y147" s="1"/>
      <c r="Z147" s="1"/>
      <c r="AA147" s="1"/>
      <c r="AB147" s="1"/>
      <c r="AC147" s="1"/>
      <c r="AD147" s="1"/>
      <c r="AE147" s="1"/>
      <c r="AF147" s="1">
        <v>39325.25</v>
      </c>
      <c r="AG147" s="1"/>
      <c r="AH147" s="1"/>
      <c r="AI147" s="1"/>
      <c r="AJ147" s="1"/>
      <c r="AK147" s="1"/>
      <c r="AL147" s="1"/>
      <c r="AM147" s="1"/>
      <c r="AN147" s="1"/>
      <c r="AO147" s="1"/>
      <c r="AP147" s="1"/>
      <c r="AQ147" s="1"/>
      <c r="AR147" s="1">
        <v>39625.25</v>
      </c>
      <c r="AS147" s="1"/>
      <c r="AT147" s="1"/>
      <c r="AU147" s="1"/>
      <c r="AV147" s="1">
        <v>39622.25</v>
      </c>
      <c r="AW147" s="1"/>
      <c r="AX147" s="1"/>
      <c r="AY147" s="1"/>
      <c r="AZ147" s="1">
        <v>39625.25</v>
      </c>
      <c r="BA147" s="1"/>
      <c r="BB147" s="1"/>
      <c r="BC147" s="1"/>
      <c r="BD147" s="1"/>
      <c r="BE147" s="1"/>
      <c r="BF147" s="1"/>
      <c r="BG147" s="1"/>
      <c r="BH147" s="1"/>
      <c r="BI147" s="1"/>
      <c r="BJ147" s="1"/>
      <c r="BK147" s="1"/>
      <c r="BL147" s="1"/>
      <c r="BM147" s="1">
        <v>39625.25</v>
      </c>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row>
    <row r="148" spans="1:216" x14ac:dyDescent="0.3">
      <c r="A148" s="3" t="str">
        <f>HYPERLINK("https://hpr-rps.hres.ca/reg-content/summary-basis-decision-detailOne.php?lang=en&amp;linkID=SBD00148", "Torisel TM")</f>
        <v>Torisel TM</v>
      </c>
      <c r="B148" s="1" t="s">
        <v>449</v>
      </c>
      <c r="C148" s="1" t="s">
        <v>365</v>
      </c>
      <c r="D148" s="1" t="s">
        <v>450</v>
      </c>
      <c r="E148" s="1">
        <v>38664.25</v>
      </c>
      <c r="F148" s="1">
        <v>38925.25</v>
      </c>
      <c r="G148" s="1"/>
      <c r="H148" s="1"/>
      <c r="I148" s="1"/>
      <c r="J148" s="1"/>
      <c r="K148" s="1"/>
      <c r="L148" s="1"/>
      <c r="M148" s="1"/>
      <c r="N148" s="1">
        <v>38959.25</v>
      </c>
      <c r="O148" s="1"/>
      <c r="P148" s="1"/>
      <c r="Q148" s="1"/>
      <c r="R148" s="1"/>
      <c r="S148" s="1">
        <v>38986.25</v>
      </c>
      <c r="T148" s="1"/>
      <c r="U148" s="1"/>
      <c r="V148" s="1">
        <v>39041.25</v>
      </c>
      <c r="W148" s="1"/>
      <c r="X148" s="1"/>
      <c r="Y148" s="1"/>
      <c r="Z148" s="1">
        <v>39065.25</v>
      </c>
      <c r="AA148" s="1"/>
      <c r="AB148" s="1"/>
      <c r="AC148" s="1">
        <v>39073.25</v>
      </c>
      <c r="AD148" s="1"/>
      <c r="AE148" s="1"/>
      <c r="AF148" s="1">
        <v>39097.25</v>
      </c>
      <c r="AG148" s="1"/>
      <c r="AH148" s="1"/>
      <c r="AI148" s="1"/>
      <c r="AJ148" s="1"/>
      <c r="AK148" s="1"/>
      <c r="AL148" s="1"/>
      <c r="AM148" s="1"/>
      <c r="AN148" s="1"/>
      <c r="AO148" s="1"/>
      <c r="AP148" s="1"/>
      <c r="AQ148" s="1"/>
      <c r="AR148" s="1">
        <v>39276.25</v>
      </c>
      <c r="AS148" s="1"/>
      <c r="AT148" s="1"/>
      <c r="AU148" s="1"/>
      <c r="AV148" s="1">
        <v>39248.25</v>
      </c>
      <c r="AW148" s="1"/>
      <c r="AX148" s="1"/>
      <c r="AY148" s="1"/>
      <c r="AZ148" s="1">
        <v>39275.25</v>
      </c>
      <c r="BA148" s="1"/>
      <c r="BB148" s="1"/>
      <c r="BC148" s="1"/>
      <c r="BD148" s="1"/>
      <c r="BE148" s="1"/>
      <c r="BF148" s="1"/>
      <c r="BG148" s="1"/>
      <c r="BH148" s="1"/>
      <c r="BI148" s="1"/>
      <c r="BJ148" s="1"/>
      <c r="BK148" s="1"/>
      <c r="BL148" s="1"/>
      <c r="BM148" s="1">
        <v>39276.25</v>
      </c>
      <c r="BN148" s="1"/>
      <c r="BO148" s="1"/>
      <c r="BP148" s="1"/>
      <c r="BQ148" s="1"/>
      <c r="BR148" s="1"/>
      <c r="BS148" s="1"/>
      <c r="BT148" s="1"/>
      <c r="BU148" s="1"/>
      <c r="BV148" s="1"/>
      <c r="BW148" s="1"/>
      <c r="BX148" s="1"/>
      <c r="BY148" s="1">
        <v>39323.25</v>
      </c>
      <c r="BZ148" s="1"/>
      <c r="CA148" s="1"/>
      <c r="CB148" s="1"/>
      <c r="CC148" s="1"/>
      <c r="CD148" s="1"/>
      <c r="CE148" s="1"/>
      <c r="CF148" s="1"/>
      <c r="CG148" s="1"/>
      <c r="CH148" s="1"/>
      <c r="CI148" s="1"/>
      <c r="CJ148" s="1"/>
      <c r="CK148" s="1"/>
      <c r="CL148" s="1"/>
      <c r="CM148" s="1"/>
      <c r="CN148" s="1"/>
      <c r="CO148" s="1"/>
      <c r="CP148" s="1"/>
      <c r="CQ148" s="1"/>
      <c r="CR148" s="1">
        <v>39352.25</v>
      </c>
      <c r="CS148" s="1"/>
      <c r="CT148" s="1"/>
      <c r="CU148" s="1"/>
      <c r="CV148" s="1"/>
      <c r="CW148" s="1"/>
      <c r="CX148" s="1"/>
      <c r="CY148" s="1"/>
      <c r="CZ148" s="1"/>
      <c r="DA148" s="1"/>
      <c r="DB148" s="1"/>
      <c r="DC148" s="1"/>
      <c r="DD148" s="1">
        <v>39434.25</v>
      </c>
      <c r="DE148" s="1"/>
      <c r="DF148" s="1"/>
      <c r="DG148" s="1"/>
      <c r="DH148" s="1">
        <v>39434.25</v>
      </c>
      <c r="DI148" s="1"/>
      <c r="DJ148" s="1"/>
      <c r="DK148" s="1"/>
      <c r="DL148" s="1"/>
      <c r="DM148" s="1"/>
      <c r="DN148" s="1"/>
      <c r="DO148" s="1"/>
      <c r="DP148" s="1"/>
      <c r="DQ148" s="1"/>
      <c r="DR148" s="1"/>
      <c r="DS148" s="1"/>
      <c r="DT148" s="1"/>
      <c r="DU148" s="1"/>
      <c r="DV148" s="1"/>
      <c r="DW148" s="1"/>
      <c r="DX148" s="1"/>
      <c r="DY148" s="1">
        <v>39437.25</v>
      </c>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row>
    <row r="149" spans="1:216" x14ac:dyDescent="0.3">
      <c r="A149" s="3" t="str">
        <f>HYPERLINK("https://hpr-rps.hres.ca/reg-content/summary-basis-decision-detailOne.php?lang=en&amp;linkID=SBD00149", "Toviaz TM")</f>
        <v>Toviaz TM</v>
      </c>
      <c r="B149" s="1" t="s">
        <v>451</v>
      </c>
      <c r="C149" s="1" t="s">
        <v>143</v>
      </c>
      <c r="D149" s="1" t="s">
        <v>452</v>
      </c>
      <c r="E149" s="1"/>
      <c r="F149" s="1"/>
      <c r="G149" s="1"/>
      <c r="H149" s="1">
        <v>40603.25</v>
      </c>
      <c r="I149" s="1"/>
      <c r="J149" s="1"/>
      <c r="K149" s="1"/>
      <c r="L149" s="1"/>
      <c r="M149" s="1"/>
      <c r="N149" s="1"/>
      <c r="O149" s="1"/>
      <c r="P149" s="1"/>
      <c r="Q149" s="1"/>
      <c r="R149" s="1"/>
      <c r="S149" s="1"/>
      <c r="T149" s="1"/>
      <c r="U149" s="1"/>
      <c r="V149" s="1"/>
      <c r="W149" s="1"/>
      <c r="X149" s="1"/>
      <c r="Y149" s="1"/>
      <c r="Z149" s="1"/>
      <c r="AA149" s="1"/>
      <c r="AB149" s="1"/>
      <c r="AC149" s="1"/>
      <c r="AD149" s="1"/>
      <c r="AE149" s="1"/>
      <c r="AF149" s="1">
        <v>40648.25</v>
      </c>
      <c r="AG149" s="1"/>
      <c r="AH149" s="1"/>
      <c r="AI149" s="1"/>
      <c r="AJ149" s="1"/>
      <c r="AK149" s="1"/>
      <c r="AL149" s="1"/>
      <c r="AM149" s="1"/>
      <c r="AN149" s="1"/>
      <c r="AO149" s="1"/>
      <c r="AP149" s="1"/>
      <c r="AQ149" s="1"/>
      <c r="AR149" s="1">
        <v>40947.25</v>
      </c>
      <c r="AS149" s="1">
        <v>40896.25</v>
      </c>
      <c r="AT149" s="1"/>
      <c r="AU149" s="1"/>
      <c r="AV149" s="1">
        <v>40938.25</v>
      </c>
      <c r="AW149" s="1"/>
      <c r="AX149" s="1">
        <v>40939.25</v>
      </c>
      <c r="AY149" s="1"/>
      <c r="AZ149" s="1">
        <v>40947.25</v>
      </c>
      <c r="BA149" s="1"/>
      <c r="BB149" s="1"/>
      <c r="BC149" s="1"/>
      <c r="BD149" s="1"/>
      <c r="BE149" s="1"/>
      <c r="BF149" s="1"/>
      <c r="BG149" s="1"/>
      <c r="BH149" s="1"/>
      <c r="BI149" s="1"/>
      <c r="BJ149" s="1"/>
      <c r="BK149" s="1"/>
      <c r="BL149" s="1"/>
      <c r="BM149" s="1">
        <v>40948.25</v>
      </c>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row>
    <row r="150" spans="1:216" x14ac:dyDescent="0.3">
      <c r="A150" s="3" t="str">
        <f>HYPERLINK("https://hpr-rps.hres.ca/reg-content/summary-basis-decision-detailOne.php?lang=en&amp;linkID=SBD00150", "Trajenta TM")</f>
        <v>Trajenta TM</v>
      </c>
      <c r="B150" s="1" t="s">
        <v>453</v>
      </c>
      <c r="C150" s="1" t="s">
        <v>105</v>
      </c>
      <c r="D150" s="1" t="s">
        <v>454</v>
      </c>
      <c r="E150" s="1">
        <v>40337.25</v>
      </c>
      <c r="F150" s="1"/>
      <c r="G150" s="1"/>
      <c r="H150" s="1">
        <v>40407.25</v>
      </c>
      <c r="I150" s="1"/>
      <c r="J150" s="1"/>
      <c r="K150" s="1"/>
      <c r="L150" s="1"/>
      <c r="M150" s="1"/>
      <c r="N150" s="1"/>
      <c r="O150" s="1"/>
      <c r="P150" s="1"/>
      <c r="Q150" s="1"/>
      <c r="R150" s="1"/>
      <c r="S150" s="1"/>
      <c r="T150" s="1"/>
      <c r="U150" s="1"/>
      <c r="V150" s="1"/>
      <c r="W150" s="1"/>
      <c r="X150" s="1"/>
      <c r="Y150" s="1"/>
      <c r="Z150" s="1"/>
      <c r="AA150" s="1"/>
      <c r="AB150" s="1"/>
      <c r="AC150" s="1"/>
      <c r="AD150" s="1"/>
      <c r="AE150" s="1"/>
      <c r="AF150" s="1">
        <v>40452.25</v>
      </c>
      <c r="AG150" s="1"/>
      <c r="AH150" s="1"/>
      <c r="AI150" s="1"/>
      <c r="AJ150" s="1"/>
      <c r="AK150" s="1"/>
      <c r="AL150" s="1"/>
      <c r="AM150" s="1"/>
      <c r="AN150" s="1"/>
      <c r="AO150" s="1"/>
      <c r="AP150" s="1"/>
      <c r="AQ150" s="1"/>
      <c r="AR150" s="1">
        <v>40746.25</v>
      </c>
      <c r="AS150" s="1"/>
      <c r="AT150" s="1"/>
      <c r="AU150" s="1"/>
      <c r="AV150" s="1">
        <v>40746.25</v>
      </c>
      <c r="AW150" s="1"/>
      <c r="AX150" s="1">
        <v>40577.25</v>
      </c>
      <c r="AY150" s="1"/>
      <c r="AZ150" s="1">
        <v>40660.25</v>
      </c>
      <c r="BA150" s="1"/>
      <c r="BB150" s="1"/>
      <c r="BC150" s="1"/>
      <c r="BD150" s="1"/>
      <c r="BE150" s="1"/>
      <c r="BF150" s="1"/>
      <c r="BG150" s="1"/>
      <c r="BH150" s="1"/>
      <c r="BI150" s="1"/>
      <c r="BJ150" s="1"/>
      <c r="BK150" s="1"/>
      <c r="BL150" s="1"/>
      <c r="BM150" s="1">
        <v>40752.25</v>
      </c>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row>
    <row r="151" spans="1:216" x14ac:dyDescent="0.3">
      <c r="A151" s="3" t="str">
        <f>HYPERLINK("https://hpr-rps.hres.ca/reg-content/summary-basis-decision-detailOne.php?lang=en&amp;linkID=SBD00151", "Tramacet")</f>
        <v>Tramacet</v>
      </c>
      <c r="B151" s="1" t="s">
        <v>455</v>
      </c>
      <c r="C151" s="1" t="s">
        <v>456</v>
      </c>
      <c r="D151" s="1" t="s">
        <v>457</v>
      </c>
      <c r="E151" s="1">
        <v>36467.25</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v>36503.25</v>
      </c>
      <c r="AG151" s="1"/>
      <c r="AH151" s="1"/>
      <c r="AI151" s="1"/>
      <c r="AJ151" s="1"/>
      <c r="AK151" s="1"/>
      <c r="AL151" s="1"/>
      <c r="AM151" s="1"/>
      <c r="AN151" s="1">
        <v>37792.25</v>
      </c>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v>36902.25</v>
      </c>
      <c r="CG151" s="1"/>
      <c r="CH151" s="1"/>
      <c r="CI151" s="1"/>
      <c r="CJ151" s="1"/>
      <c r="CK151" s="1"/>
      <c r="CL151" s="1">
        <v>37858.25</v>
      </c>
      <c r="CM151" s="1"/>
      <c r="CN151" s="1"/>
      <c r="CO151" s="1">
        <v>37893.25</v>
      </c>
      <c r="CP151" s="1"/>
      <c r="CQ151" s="1"/>
      <c r="CR151" s="1">
        <v>37896.25</v>
      </c>
      <c r="CS151" s="1"/>
      <c r="CT151" s="1"/>
      <c r="CU151" s="1"/>
      <c r="CV151" s="1"/>
      <c r="CW151" s="1"/>
      <c r="CX151" s="1"/>
      <c r="CY151" s="1"/>
      <c r="CZ151" s="1"/>
      <c r="DA151" s="1"/>
      <c r="DB151" s="1"/>
      <c r="DC151" s="1"/>
      <c r="DD151" s="1"/>
      <c r="DE151" s="1"/>
      <c r="DF151" s="1"/>
      <c r="DG151" s="1"/>
      <c r="DH151" s="1">
        <v>38175.25</v>
      </c>
      <c r="DI151" s="1"/>
      <c r="DJ151" s="1"/>
      <c r="DK151" s="1"/>
      <c r="DL151" s="1">
        <v>38168.25</v>
      </c>
      <c r="DM151" s="1"/>
      <c r="DN151" s="1"/>
      <c r="DO151" s="1"/>
      <c r="DP151" s="1"/>
      <c r="DQ151" s="1"/>
      <c r="DR151" s="1"/>
      <c r="DS151" s="1"/>
      <c r="DT151" s="1"/>
      <c r="DU151" s="1"/>
      <c r="DV151" s="1"/>
      <c r="DW151" s="1"/>
      <c r="DX151" s="1"/>
      <c r="DY151" s="1"/>
      <c r="DZ151" s="1"/>
      <c r="EA151" s="1"/>
      <c r="EB151" s="1"/>
      <c r="EC151" s="1"/>
      <c r="ED151" s="1"/>
      <c r="EE151" s="1"/>
      <c r="EF151" s="1">
        <v>38217.25</v>
      </c>
      <c r="EG151" s="1"/>
      <c r="EH151" s="1"/>
      <c r="EI151" s="1"/>
      <c r="EJ151" s="1"/>
      <c r="EK151" s="1">
        <v>38254.25</v>
      </c>
      <c r="EL151" s="1"/>
      <c r="EM151" s="1"/>
      <c r="EN151" s="1"/>
      <c r="EO151" s="1"/>
      <c r="EP151" s="1"/>
      <c r="EQ151" s="1"/>
      <c r="ER151" s="1"/>
      <c r="ES151" s="1"/>
      <c r="ET151" s="1"/>
      <c r="EU151" s="1"/>
      <c r="EV151" s="1"/>
      <c r="EW151" s="1"/>
      <c r="EX151" s="1"/>
      <c r="EY151" s="1"/>
      <c r="EZ151" s="1"/>
      <c r="FA151" s="1"/>
      <c r="FB151" s="1"/>
      <c r="FC151" s="1"/>
      <c r="FD151" s="1">
        <v>38261.25</v>
      </c>
      <c r="FE151" s="1"/>
      <c r="FF151" s="1"/>
      <c r="FG151" s="1"/>
      <c r="FH151" s="1"/>
      <c r="FI151" s="1"/>
      <c r="FJ151" s="1"/>
      <c r="FK151" s="1"/>
      <c r="FL151" s="1">
        <v>38300.25</v>
      </c>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v>38292.25</v>
      </c>
      <c r="HE151" s="1"/>
      <c r="HF151" s="1"/>
      <c r="HG151" s="1"/>
      <c r="HH151" s="1"/>
    </row>
    <row r="152" spans="1:216" x14ac:dyDescent="0.3">
      <c r="A152" s="3" t="str">
        <f>HYPERLINK("https://hpr-rps.hres.ca/reg-content/summary-basis-decision-detailOne.php?lang=en&amp;linkID=SBD00152", "Treanda ®")</f>
        <v>Treanda ®</v>
      </c>
      <c r="B152" s="1" t="s">
        <v>458</v>
      </c>
      <c r="C152" s="1" t="s">
        <v>459</v>
      </c>
      <c r="D152" s="1" t="s">
        <v>460</v>
      </c>
      <c r="E152" s="1">
        <v>40731.25</v>
      </c>
      <c r="F152" s="1"/>
      <c r="G152" s="1"/>
      <c r="H152" s="1">
        <v>40794.25</v>
      </c>
      <c r="I152" s="1"/>
      <c r="J152" s="1"/>
      <c r="K152" s="1"/>
      <c r="L152" s="1"/>
      <c r="M152" s="1"/>
      <c r="N152" s="1"/>
      <c r="O152" s="1"/>
      <c r="P152" s="1"/>
      <c r="Q152" s="1"/>
      <c r="R152" s="1"/>
      <c r="S152" s="1"/>
      <c r="T152" s="1"/>
      <c r="U152" s="1"/>
      <c r="V152" s="1"/>
      <c r="W152" s="1"/>
      <c r="X152" s="1"/>
      <c r="Y152" s="1"/>
      <c r="Z152" s="1"/>
      <c r="AA152" s="1"/>
      <c r="AB152" s="1"/>
      <c r="AC152" s="1"/>
      <c r="AD152" s="1"/>
      <c r="AE152" s="1"/>
      <c r="AF152" s="1">
        <v>40847.208333333343</v>
      </c>
      <c r="AG152" s="1"/>
      <c r="AH152" s="1"/>
      <c r="AI152" s="1"/>
      <c r="AJ152" s="1"/>
      <c r="AK152" s="1"/>
      <c r="AL152" s="1"/>
      <c r="AM152" s="1"/>
      <c r="AN152" s="1"/>
      <c r="AO152" s="1"/>
      <c r="AP152" s="1"/>
      <c r="AQ152" s="1"/>
      <c r="AR152" s="1">
        <v>41145.25</v>
      </c>
      <c r="AS152" s="1"/>
      <c r="AT152" s="1"/>
      <c r="AU152" s="1"/>
      <c r="AV152" s="1">
        <v>41131.25</v>
      </c>
      <c r="AW152" s="1"/>
      <c r="AX152" s="1"/>
      <c r="AY152" s="1"/>
      <c r="AZ152" s="1">
        <v>41145.25</v>
      </c>
      <c r="BA152" s="1"/>
      <c r="BB152" s="1"/>
      <c r="BC152" s="1"/>
      <c r="BD152" s="1"/>
      <c r="BE152" s="1"/>
      <c r="BF152" s="1"/>
      <c r="BG152" s="1"/>
      <c r="BH152" s="1"/>
      <c r="BI152" s="1"/>
      <c r="BJ152" s="1"/>
      <c r="BK152" s="1"/>
      <c r="BL152" s="1"/>
      <c r="BM152" s="1">
        <v>41145.25</v>
      </c>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row>
    <row r="153" spans="1:216" x14ac:dyDescent="0.3">
      <c r="A153" s="3" t="str">
        <f>HYPERLINK("https://hpr-rps.hres.ca/reg-content/summary-basis-decision-detailOne.php?lang=en&amp;linkID=SBD00153", "Tretten ®")</f>
        <v>Tretten ®</v>
      </c>
      <c r="B153" s="1" t="s">
        <v>461</v>
      </c>
      <c r="C153" s="1" t="s">
        <v>298</v>
      </c>
      <c r="D153" s="1" t="s">
        <v>462</v>
      </c>
      <c r="E153" s="1">
        <v>40442.25</v>
      </c>
      <c r="F153" s="1"/>
      <c r="G153" s="1"/>
      <c r="H153" s="1"/>
      <c r="I153" s="1"/>
      <c r="J153" s="1"/>
      <c r="K153" s="1"/>
      <c r="L153" s="1"/>
      <c r="M153" s="1"/>
      <c r="N153" s="1">
        <v>40554.25</v>
      </c>
      <c r="O153" s="1"/>
      <c r="P153" s="1"/>
      <c r="Q153" s="1"/>
      <c r="R153" s="1"/>
      <c r="S153" s="1">
        <v>40885.25</v>
      </c>
      <c r="T153" s="1"/>
      <c r="U153" s="1"/>
      <c r="V153" s="1">
        <v>40897.25</v>
      </c>
      <c r="W153" s="1"/>
      <c r="X153" s="1"/>
      <c r="Y153" s="1"/>
      <c r="Z153" s="1"/>
      <c r="AA153" s="1"/>
      <c r="AB153" s="1"/>
      <c r="AC153" s="1"/>
      <c r="AD153" s="1"/>
      <c r="AE153" s="1"/>
      <c r="AF153" s="1">
        <v>40931.25</v>
      </c>
      <c r="AG153" s="1"/>
      <c r="AH153" s="1"/>
      <c r="AI153" s="1"/>
      <c r="AJ153" s="1"/>
      <c r="AK153" s="1"/>
      <c r="AL153" s="1"/>
      <c r="AM153" s="1"/>
      <c r="AN153" s="1"/>
      <c r="AO153" s="1"/>
      <c r="AP153" s="1"/>
      <c r="AQ153" s="1"/>
      <c r="AR153" s="1">
        <v>41044.25</v>
      </c>
      <c r="AS153" s="1"/>
      <c r="AT153" s="1"/>
      <c r="AU153" s="1"/>
      <c r="AV153" s="1">
        <v>41109.25</v>
      </c>
      <c r="AW153" s="1"/>
      <c r="AX153" s="1">
        <v>41107.25</v>
      </c>
      <c r="AY153" s="1"/>
      <c r="AZ153" s="1">
        <v>41107.25</v>
      </c>
      <c r="BA153" s="1"/>
      <c r="BB153" s="1"/>
      <c r="BC153" s="1"/>
      <c r="BD153" s="1"/>
      <c r="BE153" s="1"/>
      <c r="BF153" s="1"/>
      <c r="BG153" s="1"/>
      <c r="BH153" s="1"/>
      <c r="BI153" s="1"/>
      <c r="BJ153" s="1"/>
      <c r="BK153" s="1"/>
      <c r="BL153" s="1"/>
      <c r="BM153" s="1">
        <v>41109.25</v>
      </c>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row>
    <row r="154" spans="1:216" x14ac:dyDescent="0.3">
      <c r="A154" s="3" t="str">
        <f>HYPERLINK("https://hpr-rps.hres.ca/reg-content/summary-basis-decision-detailOne.php?lang=en&amp;linkID=SBD00154", "Trosec TM")</f>
        <v>Trosec TM</v>
      </c>
      <c r="B154" s="1" t="s">
        <v>463</v>
      </c>
      <c r="C154" s="1" t="s">
        <v>464</v>
      </c>
      <c r="D154" s="1" t="s">
        <v>465</v>
      </c>
      <c r="E154" s="1"/>
      <c r="F154" s="1"/>
      <c r="G154" s="1"/>
      <c r="H154" s="1">
        <v>38313.25</v>
      </c>
      <c r="I154" s="1"/>
      <c r="J154" s="1"/>
      <c r="K154" s="1"/>
      <c r="L154" s="1"/>
      <c r="M154" s="1"/>
      <c r="N154" s="1"/>
      <c r="O154" s="1"/>
      <c r="P154" s="1"/>
      <c r="Q154" s="1"/>
      <c r="R154" s="1"/>
      <c r="S154" s="1"/>
      <c r="T154" s="1"/>
      <c r="U154" s="1"/>
      <c r="V154" s="1"/>
      <c r="W154" s="1"/>
      <c r="X154" s="1"/>
      <c r="Y154" s="1"/>
      <c r="Z154" s="1">
        <v>38359.25</v>
      </c>
      <c r="AA154" s="1"/>
      <c r="AB154" s="1"/>
      <c r="AC154" s="1">
        <v>38383.25</v>
      </c>
      <c r="AD154" s="1"/>
      <c r="AE154" s="1"/>
      <c r="AF154" s="1">
        <v>38428.25</v>
      </c>
      <c r="AG154" s="1"/>
      <c r="AH154" s="1"/>
      <c r="AI154" s="1"/>
      <c r="AJ154" s="1"/>
      <c r="AK154" s="1"/>
      <c r="AL154" s="1"/>
      <c r="AM154" s="1"/>
      <c r="AN154" s="1"/>
      <c r="AO154" s="1"/>
      <c r="AP154" s="1"/>
      <c r="AQ154" s="1"/>
      <c r="AR154" s="1">
        <v>38723.25</v>
      </c>
      <c r="AS154" s="1"/>
      <c r="AT154" s="1"/>
      <c r="AU154" s="1"/>
      <c r="AV154" s="1">
        <v>38702.25</v>
      </c>
      <c r="AW154" s="1"/>
      <c r="AX154" s="1"/>
      <c r="AY154" s="1"/>
      <c r="AZ154" s="1">
        <v>38726.25</v>
      </c>
      <c r="BA154" s="1"/>
      <c r="BB154" s="1"/>
      <c r="BC154" s="1"/>
      <c r="BD154" s="1"/>
      <c r="BE154" s="1"/>
      <c r="BF154" s="1"/>
      <c r="BG154" s="1"/>
      <c r="BH154" s="1"/>
      <c r="BI154" s="1"/>
      <c r="BJ154" s="1"/>
      <c r="BK154" s="1"/>
      <c r="BL154" s="1"/>
      <c r="BM154" s="1">
        <v>38727.25</v>
      </c>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row>
    <row r="155" spans="1:216" x14ac:dyDescent="0.3">
      <c r="A155" s="3" t="str">
        <f>HYPERLINK("https://hpr-rps.hres.ca/reg-content/summary-basis-decision-detailOne.php?lang=en&amp;linkID=SBD00164", "Zelboraf TM")</f>
        <v>Zelboraf TM</v>
      </c>
      <c r="B155" s="1" t="s">
        <v>466</v>
      </c>
      <c r="C155" s="1" t="s">
        <v>467</v>
      </c>
      <c r="D155" s="1" t="s">
        <v>468</v>
      </c>
      <c r="E155" s="1">
        <v>40682.25</v>
      </c>
      <c r="F155" s="1"/>
      <c r="G155" s="1"/>
      <c r="H155" s="1"/>
      <c r="I155" s="1"/>
      <c r="J155" s="1"/>
      <c r="K155" s="1"/>
      <c r="L155" s="1"/>
      <c r="M155" s="1"/>
      <c r="N155" s="1">
        <v>40708.25</v>
      </c>
      <c r="O155" s="1"/>
      <c r="P155" s="1"/>
      <c r="Q155" s="1"/>
      <c r="R155" s="1"/>
      <c r="S155" s="1">
        <v>40732.25</v>
      </c>
      <c r="T155" s="1"/>
      <c r="U155" s="1"/>
      <c r="V155" s="1">
        <v>40742.25</v>
      </c>
      <c r="W155" s="1"/>
      <c r="X155" s="1"/>
      <c r="Y155" s="1"/>
      <c r="Z155" s="1"/>
      <c r="AA155" s="1"/>
      <c r="AB155" s="1"/>
      <c r="AC155" s="1"/>
      <c r="AD155" s="1"/>
      <c r="AE155" s="1"/>
      <c r="AF155" s="1">
        <v>40774.25</v>
      </c>
      <c r="AG155" s="1"/>
      <c r="AH155" s="1"/>
      <c r="AI155" s="1"/>
      <c r="AJ155" s="1"/>
      <c r="AK155" s="1"/>
      <c r="AL155" s="1"/>
      <c r="AM155" s="1"/>
      <c r="AN155" s="1"/>
      <c r="AO155" s="1"/>
      <c r="AP155" s="1"/>
      <c r="AQ155" s="1"/>
      <c r="AR155" s="1">
        <v>40953.25</v>
      </c>
      <c r="AS155" s="1"/>
      <c r="AT155" s="1"/>
      <c r="AU155" s="1"/>
      <c r="AV155" s="1">
        <v>40587.25</v>
      </c>
      <c r="AW155" s="1"/>
      <c r="AX155" s="1"/>
      <c r="AY155" s="1"/>
      <c r="AZ155" s="1">
        <v>40589.25</v>
      </c>
      <c r="BA155" s="1"/>
      <c r="BB155" s="1"/>
      <c r="BC155" s="1"/>
      <c r="BD155" s="1"/>
      <c r="BE155" s="1"/>
      <c r="BF155" s="1"/>
      <c r="BG155" s="1"/>
      <c r="BH155" s="1"/>
      <c r="BI155" s="1"/>
      <c r="BJ155" s="1"/>
      <c r="BK155" s="1"/>
      <c r="BL155" s="1"/>
      <c r="BM155" s="1">
        <v>40589.25</v>
      </c>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row>
    <row r="156" spans="1:216" x14ac:dyDescent="0.3">
      <c r="A156" s="3" t="str">
        <f>HYPERLINK("https://hpr-rps.hres.ca/reg-content/summary-basis-decision-detailOne.php?lang=en&amp;linkID=SBD00155", "Tygacil TM")</f>
        <v>Tygacil TM</v>
      </c>
      <c r="B156" s="1" t="s">
        <v>469</v>
      </c>
      <c r="C156" s="1" t="s">
        <v>365</v>
      </c>
      <c r="D156" s="1" t="s">
        <v>470</v>
      </c>
      <c r="E156" s="1">
        <v>38259.25</v>
      </c>
      <c r="F156" s="1"/>
      <c r="G156" s="1"/>
      <c r="H156" s="1">
        <v>38490.25</v>
      </c>
      <c r="I156" s="1"/>
      <c r="J156" s="1"/>
      <c r="K156" s="1"/>
      <c r="L156" s="1"/>
      <c r="M156" s="1"/>
      <c r="N156" s="1"/>
      <c r="O156" s="1"/>
      <c r="P156" s="1"/>
      <c r="Q156" s="1"/>
      <c r="R156" s="1"/>
      <c r="S156" s="1"/>
      <c r="T156" s="1"/>
      <c r="U156" s="1"/>
      <c r="V156" s="1"/>
      <c r="W156" s="1"/>
      <c r="X156" s="1"/>
      <c r="Y156" s="1"/>
      <c r="Z156" s="1"/>
      <c r="AA156" s="1"/>
      <c r="AB156" s="1"/>
      <c r="AC156" s="1"/>
      <c r="AD156" s="1"/>
      <c r="AE156" s="1"/>
      <c r="AF156" s="1">
        <v>38581.25</v>
      </c>
      <c r="AG156" s="1"/>
      <c r="AH156" s="1"/>
      <c r="AI156" s="1"/>
      <c r="AJ156" s="1"/>
      <c r="AK156" s="1"/>
      <c r="AL156" s="1"/>
      <c r="AM156" s="1"/>
      <c r="AN156" s="1"/>
      <c r="AO156" s="1"/>
      <c r="AP156" s="1"/>
      <c r="AQ156" s="1"/>
      <c r="AR156" s="1">
        <v>38960.25</v>
      </c>
      <c r="AS156" s="1"/>
      <c r="AT156" s="1"/>
      <c r="AU156" s="1"/>
      <c r="AV156" s="1">
        <v>38922.25</v>
      </c>
      <c r="AW156" s="1"/>
      <c r="AX156" s="1"/>
      <c r="AY156" s="1"/>
      <c r="AZ156" s="1">
        <v>38967.25</v>
      </c>
      <c r="BA156" s="1"/>
      <c r="BB156" s="1"/>
      <c r="BC156" s="1"/>
      <c r="BD156" s="1"/>
      <c r="BE156" s="1"/>
      <c r="BF156" s="1"/>
      <c r="BG156" s="1"/>
      <c r="BH156" s="1"/>
      <c r="BI156" s="1"/>
      <c r="BJ156" s="1"/>
      <c r="BK156" s="1"/>
      <c r="BL156" s="1"/>
      <c r="BM156" s="1">
        <v>38974.25</v>
      </c>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row>
    <row r="157" spans="1:216" x14ac:dyDescent="0.3">
      <c r="A157" s="3" t="str">
        <f>HYPERLINK("https://hpr-rps.hres.ca/reg-content/summary-basis-decision-detailOne.php?lang=en&amp;linkID=SBD00156", "Tykerb TM")</f>
        <v>Tykerb TM</v>
      </c>
      <c r="B157" s="1" t="s">
        <v>471</v>
      </c>
      <c r="C157" s="1" t="s">
        <v>96</v>
      </c>
      <c r="D157" s="1" t="s">
        <v>472</v>
      </c>
      <c r="E157" s="1">
        <v>39420.25</v>
      </c>
      <c r="F157" s="1"/>
      <c r="G157" s="1"/>
      <c r="H157" s="1">
        <v>39055.25</v>
      </c>
      <c r="I157" s="1"/>
      <c r="J157" s="1"/>
      <c r="K157" s="1"/>
      <c r="L157" s="1"/>
      <c r="M157" s="1"/>
      <c r="N157" s="1"/>
      <c r="O157" s="1"/>
      <c r="P157" s="1"/>
      <c r="Q157" s="1"/>
      <c r="R157" s="1"/>
      <c r="S157" s="1"/>
      <c r="T157" s="1"/>
      <c r="U157" s="1"/>
      <c r="V157" s="1"/>
      <c r="W157" s="1"/>
      <c r="X157" s="1"/>
      <c r="Y157" s="1"/>
      <c r="Z157" s="1">
        <v>39097.25</v>
      </c>
      <c r="AA157" s="1"/>
      <c r="AB157" s="1"/>
      <c r="AC157" s="1">
        <v>39100.25</v>
      </c>
      <c r="AD157" s="1"/>
      <c r="AE157" s="1"/>
      <c r="AF157" s="1">
        <v>39129.25</v>
      </c>
      <c r="AG157" s="1"/>
      <c r="AH157" s="1"/>
      <c r="AI157" s="1"/>
      <c r="AJ157" s="1"/>
      <c r="AK157" s="1"/>
      <c r="AL157" s="1"/>
      <c r="AM157" s="1"/>
      <c r="AN157" s="1"/>
      <c r="AO157" s="1"/>
      <c r="AP157" s="1"/>
      <c r="AQ157" s="1"/>
      <c r="AR157" s="1"/>
      <c r="AS157" s="1">
        <v>39407.25</v>
      </c>
      <c r="AT157" s="1"/>
      <c r="AU157" s="1"/>
      <c r="AV157" s="1">
        <v>39408.25</v>
      </c>
      <c r="AW157" s="1"/>
      <c r="AX157" s="1"/>
      <c r="AY157" s="1"/>
      <c r="AZ157" s="1">
        <v>39429.25</v>
      </c>
      <c r="BA157" s="1"/>
      <c r="BB157" s="1"/>
      <c r="BC157" s="1"/>
      <c r="BD157" s="1"/>
      <c r="BE157" s="1"/>
      <c r="BF157" s="1"/>
      <c r="BG157" s="1"/>
      <c r="BH157" s="1"/>
      <c r="BI157" s="1"/>
      <c r="BJ157" s="1"/>
      <c r="BK157" s="1"/>
      <c r="BL157" s="1"/>
      <c r="BM157" s="1"/>
      <c r="BN157" s="1"/>
      <c r="BO157" s="1"/>
      <c r="BP157" s="1"/>
      <c r="BQ157" s="1"/>
      <c r="BR157" s="1"/>
      <c r="BS157" s="1"/>
      <c r="BT157" s="1">
        <v>39429.25</v>
      </c>
      <c r="BU157" s="1"/>
      <c r="BV157" s="1"/>
      <c r="BW157" s="1"/>
      <c r="BX157" s="1"/>
      <c r="BY157" s="1">
        <v>39518.208333333343</v>
      </c>
      <c r="BZ157" s="1"/>
      <c r="CA157" s="1"/>
      <c r="CB157" s="1"/>
      <c r="CC157" s="1"/>
      <c r="CD157" s="1"/>
      <c r="CE157" s="1"/>
      <c r="CF157" s="1"/>
      <c r="CG157" s="1"/>
      <c r="CH157" s="1"/>
      <c r="CI157" s="1"/>
      <c r="CJ157" s="1"/>
      <c r="CK157" s="1"/>
      <c r="CL157" s="1"/>
      <c r="CM157" s="1"/>
      <c r="CN157" s="1"/>
      <c r="CO157" s="1"/>
      <c r="CP157" s="1"/>
      <c r="CQ157" s="1"/>
      <c r="CR157" s="1">
        <v>39562.25</v>
      </c>
      <c r="CS157" s="1"/>
      <c r="CT157" s="1"/>
      <c r="CU157" s="1"/>
      <c r="CV157" s="1"/>
      <c r="CW157" s="1"/>
      <c r="CX157" s="1"/>
      <c r="CY157" s="1"/>
      <c r="CZ157" s="1"/>
      <c r="DA157" s="1"/>
      <c r="DB157" s="1"/>
      <c r="DC157" s="1"/>
      <c r="DD157" s="1">
        <v>39927.25</v>
      </c>
      <c r="DE157" s="1"/>
      <c r="DF157" s="1"/>
      <c r="DG157" s="1"/>
      <c r="DH157" s="1">
        <v>39702.25</v>
      </c>
      <c r="DI157" s="1"/>
      <c r="DJ157" s="1">
        <v>39710.25</v>
      </c>
      <c r="DK157" s="1"/>
      <c r="DL157" s="1">
        <v>39945.25</v>
      </c>
      <c r="DM157" s="1"/>
      <c r="DN157" s="1"/>
      <c r="DO157" s="1"/>
      <c r="DP157" s="1"/>
      <c r="DQ157" s="1"/>
      <c r="DR157" s="1"/>
      <c r="DS157" s="1"/>
      <c r="DT157" s="1"/>
      <c r="DU157" s="1"/>
      <c r="DV157" s="1"/>
      <c r="DW157" s="1"/>
      <c r="DX157" s="1"/>
      <c r="DY157" s="1"/>
      <c r="DZ157" s="1"/>
      <c r="EA157" s="1"/>
      <c r="EB157" s="1"/>
      <c r="EC157" s="1"/>
      <c r="ED157" s="1"/>
      <c r="EE157" s="1">
        <v>39710.25</v>
      </c>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row>
    <row r="158" spans="1:216" x14ac:dyDescent="0.3">
      <c r="A158" s="3" t="str">
        <f>HYPERLINK("https://hpr-rps.hres.ca/reg-content/summary-basis-decision-detailOne.php?lang=en&amp;linkID=SBD00157", "Tysabri TM")</f>
        <v>Tysabri TM</v>
      </c>
      <c r="B158" s="1" t="s">
        <v>473</v>
      </c>
      <c r="C158" s="1" t="s">
        <v>238</v>
      </c>
      <c r="D158" s="1" t="s">
        <v>474</v>
      </c>
      <c r="E158" s="1">
        <v>38156.25</v>
      </c>
      <c r="F158" s="1"/>
      <c r="G158" s="1"/>
      <c r="H158" s="1"/>
      <c r="I158" s="1"/>
      <c r="J158" s="1"/>
      <c r="K158" s="1"/>
      <c r="L158" s="1"/>
      <c r="M158" s="1"/>
      <c r="N158" s="1">
        <v>38161.25</v>
      </c>
      <c r="O158" s="1"/>
      <c r="P158" s="1"/>
      <c r="Q158" s="1"/>
      <c r="R158" s="1"/>
      <c r="S158" s="1">
        <v>38181.25</v>
      </c>
      <c r="T158" s="1"/>
      <c r="U158" s="1"/>
      <c r="V158" s="1">
        <v>38197.25</v>
      </c>
      <c r="W158" s="1"/>
      <c r="X158" s="1"/>
      <c r="Y158" s="1"/>
      <c r="Z158" s="1"/>
      <c r="AA158" s="1"/>
      <c r="AB158" s="1"/>
      <c r="AC158" s="1"/>
      <c r="AD158" s="1"/>
      <c r="AE158" s="1"/>
      <c r="AF158" s="1">
        <v>38223.25</v>
      </c>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v>38658.25</v>
      </c>
      <c r="BH158" s="1"/>
      <c r="BI158" s="1"/>
      <c r="BJ158" s="1"/>
      <c r="BK158" s="1"/>
      <c r="BL158" s="1"/>
      <c r="BM158" s="1"/>
      <c r="BN158" s="1"/>
      <c r="BO158" s="1"/>
      <c r="BP158" s="1"/>
      <c r="BQ158" s="1"/>
      <c r="BR158" s="1"/>
      <c r="BS158" s="1"/>
      <c r="BT158" s="1"/>
      <c r="BU158" s="1">
        <v>38492.25</v>
      </c>
      <c r="BV158" s="1"/>
      <c r="BW158" s="1"/>
      <c r="BX158" s="1"/>
      <c r="BY158" s="1"/>
      <c r="BZ158" s="1"/>
      <c r="CA158" s="1"/>
      <c r="CB158" s="1"/>
      <c r="CC158" s="1"/>
      <c r="CD158" s="1"/>
      <c r="CE158" s="1"/>
      <c r="CF158" s="1"/>
      <c r="CG158" s="1"/>
      <c r="CH158" s="1"/>
      <c r="CI158" s="1"/>
      <c r="CJ158" s="1"/>
      <c r="CK158" s="1"/>
      <c r="CL158" s="1"/>
      <c r="CM158" s="1"/>
      <c r="CN158" s="1"/>
      <c r="CO158" s="1"/>
      <c r="CP158" s="1"/>
      <c r="CQ158" s="1"/>
      <c r="CR158" s="1">
        <v>38674.25</v>
      </c>
      <c r="CS158" s="1"/>
      <c r="CT158" s="1"/>
      <c r="CU158" s="1"/>
      <c r="CV158" s="1"/>
      <c r="CW158" s="1"/>
      <c r="CX158" s="1"/>
      <c r="CY158" s="1"/>
      <c r="CZ158" s="1"/>
      <c r="DA158" s="1">
        <v>38887.25</v>
      </c>
      <c r="DB158" s="1"/>
      <c r="DC158" s="1"/>
      <c r="DD158" s="1">
        <v>38952.25</v>
      </c>
      <c r="DE158" s="1"/>
      <c r="DF158" s="1"/>
      <c r="DG158" s="1"/>
      <c r="DH158" s="1">
        <v>38960.25</v>
      </c>
      <c r="DI158" s="1"/>
      <c r="DJ158" s="1"/>
      <c r="DK158" s="1"/>
      <c r="DL158" s="1">
        <v>38986.25</v>
      </c>
      <c r="DM158" s="1"/>
      <c r="DN158" s="1"/>
      <c r="DO158" s="1"/>
      <c r="DP158" s="1"/>
      <c r="DQ158" s="1"/>
      <c r="DR158" s="1"/>
      <c r="DS158" s="1"/>
      <c r="DT158" s="1"/>
      <c r="DU158" s="1"/>
      <c r="DV158" s="1"/>
      <c r="DW158" s="1"/>
      <c r="DX158" s="1"/>
      <c r="DY158" s="1">
        <v>38988.25</v>
      </c>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row>
    <row r="159" spans="1:216" x14ac:dyDescent="0.3">
      <c r="A159" s="3" t="str">
        <f>HYPERLINK("https://hpr-rps.hres.ca/reg-content/summary-basis-decision-detailOne.php?lang=en&amp;linkID=SBD00158", "Uloric TM")</f>
        <v>Uloric TM</v>
      </c>
      <c r="B159" s="1" t="s">
        <v>475</v>
      </c>
      <c r="C159" s="1" t="s">
        <v>188</v>
      </c>
      <c r="D159" s="1" t="s">
        <v>476</v>
      </c>
      <c r="E159" s="1">
        <v>39954.25</v>
      </c>
      <c r="F159" s="1"/>
      <c r="G159" s="1"/>
      <c r="H159" s="1"/>
      <c r="I159" s="1"/>
      <c r="J159" s="1"/>
      <c r="K159" s="1"/>
      <c r="L159" s="1"/>
      <c r="M159" s="1"/>
      <c r="N159" s="1"/>
      <c r="O159" s="1"/>
      <c r="P159" s="1"/>
      <c r="Q159" s="1"/>
      <c r="R159" s="1"/>
      <c r="S159" s="1"/>
      <c r="T159" s="1"/>
      <c r="U159" s="1"/>
      <c r="V159" s="1"/>
      <c r="W159" s="1"/>
      <c r="X159" s="1"/>
      <c r="Y159" s="1"/>
      <c r="Z159" s="1">
        <v>40092.25</v>
      </c>
      <c r="AA159" s="1"/>
      <c r="AB159" s="1"/>
      <c r="AC159" s="1">
        <v>40100.25</v>
      </c>
      <c r="AD159" s="1"/>
      <c r="AE159" s="1"/>
      <c r="AF159" s="1">
        <v>40143.25</v>
      </c>
      <c r="AG159" s="1"/>
      <c r="AH159" s="1"/>
      <c r="AI159" s="1"/>
      <c r="AJ159" s="1"/>
      <c r="AK159" s="1"/>
      <c r="AL159" s="1"/>
      <c r="AM159" s="1"/>
      <c r="AN159" s="1"/>
      <c r="AO159" s="1"/>
      <c r="AP159" s="1"/>
      <c r="AQ159" s="1"/>
      <c r="AR159" s="1">
        <v>40436.25</v>
      </c>
      <c r="AS159" s="1"/>
      <c r="AT159" s="1"/>
      <c r="AU159" s="1"/>
      <c r="AV159" s="1">
        <v>40441.25</v>
      </c>
      <c r="AW159" s="1"/>
      <c r="AX159" s="1">
        <v>40389.25</v>
      </c>
      <c r="AY159" s="1"/>
      <c r="AZ159" s="1">
        <v>40442.25</v>
      </c>
      <c r="BA159" s="1"/>
      <c r="BB159" s="1"/>
      <c r="BC159" s="1"/>
      <c r="BD159" s="1"/>
      <c r="BE159" s="1"/>
      <c r="BF159" s="1"/>
      <c r="BG159" s="1"/>
      <c r="BH159" s="1"/>
      <c r="BI159" s="1"/>
      <c r="BJ159" s="1"/>
      <c r="BK159" s="1"/>
      <c r="BL159" s="1"/>
      <c r="BM159" s="1">
        <v>40443.25</v>
      </c>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row>
    <row r="160" spans="1:216" x14ac:dyDescent="0.3">
      <c r="A160" s="3" t="str">
        <f>HYPERLINK("https://hpr-rps.hres.ca/reg-content/summary-basis-decision-detailOne.php?lang=en&amp;linkID=SBD00159", "Vantas ®")</f>
        <v>Vantas ®</v>
      </c>
      <c r="B160" s="1" t="s">
        <v>477</v>
      </c>
      <c r="C160" s="1" t="s">
        <v>478</v>
      </c>
      <c r="D160" s="1" t="s">
        <v>479</v>
      </c>
      <c r="E160" s="1">
        <v>37749.25</v>
      </c>
      <c r="F160" s="1"/>
      <c r="G160" s="1"/>
      <c r="H160" s="1"/>
      <c r="I160" s="1"/>
      <c r="J160" s="1"/>
      <c r="K160" s="1"/>
      <c r="L160" s="1"/>
      <c r="M160" s="1"/>
      <c r="N160" s="1">
        <v>38057.25</v>
      </c>
      <c r="O160" s="1"/>
      <c r="P160" s="1"/>
      <c r="Q160" s="1"/>
      <c r="R160" s="1"/>
      <c r="S160" s="1"/>
      <c r="T160" s="1">
        <v>38076.291666666657</v>
      </c>
      <c r="U160" s="1"/>
      <c r="V160" s="1">
        <v>38170.25</v>
      </c>
      <c r="W160" s="1"/>
      <c r="X160" s="1"/>
      <c r="Y160" s="1"/>
      <c r="Z160" s="1"/>
      <c r="AA160" s="1"/>
      <c r="AB160" s="1"/>
      <c r="AC160" s="1"/>
      <c r="AD160" s="1"/>
      <c r="AE160" s="1"/>
      <c r="AF160" s="1">
        <v>38219.25</v>
      </c>
      <c r="AG160" s="1"/>
      <c r="AH160" s="1"/>
      <c r="AI160" s="1"/>
      <c r="AJ160" s="1"/>
      <c r="AK160" s="1"/>
      <c r="AL160" s="1"/>
      <c r="AM160" s="1"/>
      <c r="AN160" s="1"/>
      <c r="AO160" s="1"/>
      <c r="AP160" s="1"/>
      <c r="AQ160" s="1"/>
      <c r="AR160" s="1"/>
      <c r="AS160" s="1"/>
      <c r="AT160" s="1"/>
      <c r="AU160" s="1">
        <v>38411.25</v>
      </c>
      <c r="AV160" s="1">
        <v>38512.25</v>
      </c>
      <c r="AW160" s="1"/>
      <c r="AX160" s="1"/>
      <c r="AY160" s="1"/>
      <c r="AZ160" s="1">
        <v>38485.25</v>
      </c>
      <c r="BA160" s="1"/>
      <c r="BB160" s="1"/>
      <c r="BC160" s="1"/>
      <c r="BD160" s="1"/>
      <c r="BE160" s="1"/>
      <c r="BF160" s="1"/>
      <c r="BG160" s="1"/>
      <c r="BH160" s="1"/>
      <c r="BI160" s="1"/>
      <c r="BJ160" s="1"/>
      <c r="BK160" s="1"/>
      <c r="BL160" s="1"/>
      <c r="BM160" s="1"/>
      <c r="BN160" s="1"/>
      <c r="BO160" s="1"/>
      <c r="BP160" s="1"/>
      <c r="BQ160" s="1"/>
      <c r="BR160" s="1"/>
      <c r="BS160" s="1"/>
      <c r="BT160" s="1">
        <v>38518.25</v>
      </c>
      <c r="BU160" s="1"/>
      <c r="BV160" s="1"/>
      <c r="BW160" s="1"/>
      <c r="BX160" s="1"/>
      <c r="BY160" s="1">
        <v>38590.25</v>
      </c>
      <c r="BZ160" s="1"/>
      <c r="CA160" s="1"/>
      <c r="CB160" s="1"/>
      <c r="CC160" s="1"/>
      <c r="CD160" s="1"/>
      <c r="CE160" s="1"/>
      <c r="CF160" s="1"/>
      <c r="CG160" s="1"/>
      <c r="CH160" s="1"/>
      <c r="CI160" s="1"/>
      <c r="CJ160" s="1"/>
      <c r="CK160" s="1"/>
      <c r="CL160" s="1"/>
      <c r="CM160" s="1"/>
      <c r="CN160" s="1"/>
      <c r="CO160" s="1"/>
      <c r="CP160" s="1"/>
      <c r="CQ160" s="1"/>
      <c r="CR160" s="1">
        <v>38636.25</v>
      </c>
      <c r="CS160" s="1"/>
      <c r="CT160" s="1"/>
      <c r="CU160" s="1"/>
      <c r="CV160" s="1"/>
      <c r="CW160" s="1"/>
      <c r="CX160" s="1"/>
      <c r="CY160" s="1"/>
      <c r="CZ160" s="1"/>
      <c r="DA160" s="1"/>
      <c r="DB160" s="1"/>
      <c r="DC160" s="1"/>
      <c r="DD160" s="1">
        <v>38785.25</v>
      </c>
      <c r="DE160" s="1"/>
      <c r="DF160" s="1"/>
      <c r="DG160" s="1"/>
      <c r="DH160" s="1">
        <v>38785.25</v>
      </c>
      <c r="DI160" s="1"/>
      <c r="DJ160" s="1"/>
      <c r="DK160" s="1"/>
      <c r="DL160" s="1"/>
      <c r="DM160" s="1"/>
      <c r="DN160" s="1"/>
      <c r="DO160" s="1"/>
      <c r="DP160" s="1"/>
      <c r="DQ160" s="1"/>
      <c r="DR160" s="1"/>
      <c r="DS160" s="1"/>
      <c r="DT160" s="1"/>
      <c r="DU160" s="1"/>
      <c r="DV160" s="1"/>
      <c r="DW160" s="1"/>
      <c r="DX160" s="1"/>
      <c r="DY160" s="1">
        <v>38786.25</v>
      </c>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row>
    <row r="161" spans="1:216" x14ac:dyDescent="0.3">
      <c r="A161" s="3" t="str">
        <f>HYPERLINK("https://hpr-rps.hres.ca/reg-content/summary-basis-decision-detailOne.php?lang=en&amp;linkID=SBD00160", "Vasovist TM")</f>
        <v>Vasovist TM</v>
      </c>
      <c r="B161" s="1" t="s">
        <v>480</v>
      </c>
      <c r="C161" s="1" t="s">
        <v>481</v>
      </c>
      <c r="D161" s="1" t="s">
        <v>482</v>
      </c>
      <c r="E161" s="1"/>
      <c r="F161" s="1"/>
      <c r="G161" s="1"/>
      <c r="H161" s="1">
        <v>38343.25</v>
      </c>
      <c r="I161" s="1"/>
      <c r="J161" s="1"/>
      <c r="K161" s="1"/>
      <c r="L161" s="1"/>
      <c r="M161" s="1"/>
      <c r="N161" s="1"/>
      <c r="O161" s="1"/>
      <c r="P161" s="1"/>
      <c r="Q161" s="1"/>
      <c r="R161" s="1"/>
      <c r="S161" s="1"/>
      <c r="T161" s="1"/>
      <c r="U161" s="1"/>
      <c r="V161" s="1"/>
      <c r="W161" s="1"/>
      <c r="X161" s="1"/>
      <c r="Y161" s="1"/>
      <c r="Z161" s="1"/>
      <c r="AA161" s="1"/>
      <c r="AB161" s="1"/>
      <c r="AC161" s="1"/>
      <c r="AD161" s="1"/>
      <c r="AE161" s="1"/>
      <c r="AF161" s="1">
        <v>38442.291666666657</v>
      </c>
      <c r="AG161" s="1"/>
      <c r="AH161" s="1"/>
      <c r="AI161" s="1"/>
      <c r="AJ161" s="1"/>
      <c r="AK161" s="1"/>
      <c r="AL161" s="1"/>
      <c r="AM161" s="1"/>
      <c r="AN161" s="1"/>
      <c r="AO161" s="1"/>
      <c r="AP161" s="1"/>
      <c r="AQ161" s="1"/>
      <c r="AR161" s="1"/>
      <c r="AS161" s="1"/>
      <c r="AT161" s="1"/>
      <c r="AU161" s="1"/>
      <c r="AV161" s="1">
        <v>38728.25</v>
      </c>
      <c r="AW161" s="1"/>
      <c r="AX161" s="1">
        <v>38740.25</v>
      </c>
      <c r="AY161" s="1"/>
      <c r="AZ161" s="1">
        <v>38740.25</v>
      </c>
      <c r="BA161" s="1"/>
      <c r="BB161" s="1"/>
      <c r="BC161" s="1"/>
      <c r="BD161" s="1"/>
      <c r="BE161" s="1">
        <v>38741.25</v>
      </c>
      <c r="BF161" s="1"/>
      <c r="BG161" s="1"/>
      <c r="BH161" s="1"/>
      <c r="BI161" s="1"/>
      <c r="BJ161" s="1"/>
      <c r="BK161" s="1"/>
      <c r="BL161" s="1"/>
      <c r="BM161" s="1"/>
      <c r="BN161" s="1"/>
      <c r="BO161" s="1"/>
      <c r="BP161" s="1"/>
      <c r="BQ161" s="1"/>
      <c r="BR161" s="1"/>
      <c r="BS161" s="1"/>
      <c r="BT161" s="1"/>
      <c r="BU161" s="1"/>
      <c r="BV161" s="1"/>
      <c r="BW161" s="1"/>
      <c r="BX161" s="1"/>
      <c r="BY161" s="1">
        <v>38841.25</v>
      </c>
      <c r="BZ161" s="1"/>
      <c r="CA161" s="1"/>
      <c r="CB161" s="1"/>
      <c r="CC161" s="1"/>
      <c r="CD161" s="1"/>
      <c r="CE161" s="1"/>
      <c r="CF161" s="1"/>
      <c r="CG161" s="1"/>
      <c r="CH161" s="1"/>
      <c r="CI161" s="1"/>
      <c r="CJ161" s="1"/>
      <c r="CK161" s="1"/>
      <c r="CL161" s="1"/>
      <c r="CM161" s="1"/>
      <c r="CN161" s="1"/>
      <c r="CO161" s="1">
        <v>38841.25</v>
      </c>
      <c r="CP161" s="1"/>
      <c r="CQ161" s="1"/>
      <c r="CR161" s="1">
        <v>38883.25</v>
      </c>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v>39021.25</v>
      </c>
      <c r="DY161" s="1">
        <v>39020.25</v>
      </c>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row>
    <row r="162" spans="1:216" x14ac:dyDescent="0.3">
      <c r="A162" s="3" t="str">
        <f>HYPERLINK("https://hpr-rps.hres.ca/reg-content/summary-basis-decision-detailOne.php?lang=en&amp;linkID=SBD00161", "Vectibix TM")</f>
        <v>Vectibix TM</v>
      </c>
      <c r="B162" s="1" t="s">
        <v>483</v>
      </c>
      <c r="C162" s="1" t="s">
        <v>286</v>
      </c>
      <c r="D162" s="1" t="s">
        <v>484</v>
      </c>
      <c r="E162" s="1"/>
      <c r="F162" s="1"/>
      <c r="G162" s="1"/>
      <c r="H162" s="1">
        <v>38839.25</v>
      </c>
      <c r="I162" s="1"/>
      <c r="J162" s="1"/>
      <c r="K162" s="1"/>
      <c r="L162" s="1"/>
      <c r="M162" s="1"/>
      <c r="N162" s="1"/>
      <c r="O162" s="1"/>
      <c r="P162" s="1"/>
      <c r="Q162" s="1"/>
      <c r="R162" s="1"/>
      <c r="S162" s="1"/>
      <c r="T162" s="1"/>
      <c r="U162" s="1"/>
      <c r="V162" s="1"/>
      <c r="W162" s="1"/>
      <c r="X162" s="1">
        <v>39125.25</v>
      </c>
      <c r="Y162" s="1"/>
      <c r="Z162" s="1"/>
      <c r="AA162" s="1"/>
      <c r="AB162" s="1"/>
      <c r="AC162" s="1"/>
      <c r="AD162" s="1"/>
      <c r="AE162" s="1">
        <v>39184.25</v>
      </c>
      <c r="AF162" s="1"/>
      <c r="AG162" s="1"/>
      <c r="AH162" s="1"/>
      <c r="AI162" s="1">
        <v>39097.25</v>
      </c>
      <c r="AJ162" s="1"/>
      <c r="AK162" s="1"/>
      <c r="AL162" s="1"/>
      <c r="AM162" s="1"/>
      <c r="AN162" s="1"/>
      <c r="AO162" s="1"/>
      <c r="AP162" s="1"/>
      <c r="AQ162" s="1"/>
      <c r="AR162" s="1"/>
      <c r="AS162" s="1"/>
      <c r="AT162" s="1"/>
      <c r="AU162" s="1"/>
      <c r="AV162" s="1"/>
      <c r="AW162" s="1"/>
      <c r="AX162" s="1"/>
      <c r="AY162" s="1"/>
      <c r="AZ162" s="1"/>
      <c r="BA162" s="1"/>
      <c r="BB162" s="1"/>
      <c r="BC162" s="1">
        <v>39184.25</v>
      </c>
      <c r="BD162" s="1"/>
      <c r="BE162" s="1"/>
      <c r="BF162" s="1"/>
      <c r="BG162" s="1"/>
      <c r="BH162" s="1">
        <v>39308.25</v>
      </c>
      <c r="BI162" s="1"/>
      <c r="BJ162" s="1"/>
      <c r="BK162" s="1"/>
      <c r="BL162" s="1"/>
      <c r="BM162" s="1"/>
      <c r="BN162" s="1"/>
      <c r="BO162" s="1"/>
      <c r="BP162" s="1"/>
      <c r="BQ162" s="1"/>
      <c r="BR162" s="1"/>
      <c r="BS162" s="1"/>
      <c r="BT162" s="1"/>
      <c r="BU162" s="1"/>
      <c r="BV162" s="1"/>
      <c r="BW162" s="1"/>
      <c r="BX162" s="1"/>
      <c r="BY162" s="1"/>
      <c r="BZ162" s="1"/>
      <c r="CA162" s="1">
        <v>39352.25</v>
      </c>
      <c r="CB162" s="1"/>
      <c r="CC162" s="1"/>
      <c r="CD162" s="1"/>
      <c r="CE162" s="1"/>
      <c r="CF162" s="1"/>
      <c r="CG162" s="1"/>
      <c r="CH162" s="1"/>
      <c r="CI162" s="1"/>
      <c r="CJ162" s="1"/>
      <c r="CK162" s="1"/>
      <c r="CL162" s="1"/>
      <c r="CM162" s="1">
        <v>39499.25</v>
      </c>
      <c r="CN162" s="1"/>
      <c r="CO162" s="1"/>
      <c r="CP162" s="1"/>
      <c r="CQ162" s="1">
        <v>39352.25</v>
      </c>
      <c r="CR162" s="1"/>
      <c r="CS162" s="1"/>
      <c r="CT162" s="1"/>
      <c r="CU162" s="1">
        <v>39499.25</v>
      </c>
      <c r="CV162" s="1"/>
      <c r="CW162" s="1"/>
      <c r="CX162" s="1"/>
      <c r="CY162" s="1"/>
      <c r="CZ162" s="1"/>
      <c r="DA162" s="1"/>
      <c r="DB162" s="1"/>
      <c r="DC162" s="1"/>
      <c r="DD162" s="1"/>
      <c r="DE162" s="1"/>
      <c r="DF162" s="1">
        <v>39500.25</v>
      </c>
      <c r="DG162" s="1">
        <v>39511.25</v>
      </c>
      <c r="DH162" s="1"/>
      <c r="DI162" s="1"/>
      <c r="DJ162" s="1"/>
      <c r="DK162" s="1"/>
      <c r="DL162" s="1"/>
      <c r="DM162" s="1"/>
      <c r="DN162" s="1"/>
      <c r="DO162" s="1"/>
      <c r="DP162" s="1"/>
      <c r="DQ162" s="1"/>
      <c r="DR162" s="1"/>
      <c r="DS162" s="1"/>
      <c r="DT162" s="1">
        <v>39541.25</v>
      </c>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row>
    <row r="163" spans="1:216" x14ac:dyDescent="0.3">
      <c r="A163" s="3" t="str">
        <f>HYPERLINK("https://hpr-rps.hres.ca/reg-content/summary-basis-decision-detailOne.php?lang=en&amp;linkID=SBD00162", "Xiaflex TM")</f>
        <v>Xiaflex TM</v>
      </c>
      <c r="B163" s="1" t="s">
        <v>485</v>
      </c>
      <c r="C163" s="1" t="s">
        <v>486</v>
      </c>
      <c r="D163" s="1" t="s">
        <v>487</v>
      </c>
      <c r="E163" s="1">
        <v>40556.25</v>
      </c>
      <c r="F163" s="1"/>
      <c r="G163" s="1"/>
      <c r="H163" s="1"/>
      <c r="I163" s="1"/>
      <c r="J163" s="1"/>
      <c r="K163" s="1"/>
      <c r="L163" s="1"/>
      <c r="M163" s="1"/>
      <c r="N163" s="1">
        <v>40627.208333333343</v>
      </c>
      <c r="O163" s="1"/>
      <c r="P163" s="1"/>
      <c r="Q163" s="1"/>
      <c r="R163" s="1"/>
      <c r="S163" s="1"/>
      <c r="T163" s="1">
        <v>40652.25</v>
      </c>
      <c r="U163" s="1"/>
      <c r="V163" s="1">
        <v>40701.25</v>
      </c>
      <c r="W163" s="1"/>
      <c r="X163" s="1"/>
      <c r="Y163" s="1"/>
      <c r="Z163" s="1"/>
      <c r="AA163" s="1"/>
      <c r="AB163" s="1"/>
      <c r="AC163" s="1"/>
      <c r="AD163" s="1"/>
      <c r="AE163" s="1"/>
      <c r="AF163" s="1">
        <v>40753.25</v>
      </c>
      <c r="AG163" s="1"/>
      <c r="AH163" s="1"/>
      <c r="AI163" s="1"/>
      <c r="AJ163" s="1"/>
      <c r="AK163" s="1"/>
      <c r="AL163" s="1"/>
      <c r="AM163" s="1"/>
      <c r="AN163" s="1"/>
      <c r="AO163" s="1">
        <v>41043.25</v>
      </c>
      <c r="AP163" s="1"/>
      <c r="AQ163" s="1"/>
      <c r="AR163" s="1">
        <v>41029.25</v>
      </c>
      <c r="AS163" s="1"/>
      <c r="AT163" s="1"/>
      <c r="AU163" s="1"/>
      <c r="AV163" s="1">
        <v>41038.25</v>
      </c>
      <c r="AW163" s="1"/>
      <c r="AX163" s="1"/>
      <c r="AY163" s="1"/>
      <c r="AZ163" s="1">
        <v>41038.25</v>
      </c>
      <c r="BA163" s="1"/>
      <c r="BB163" s="1"/>
      <c r="BC163" s="1"/>
      <c r="BD163" s="1"/>
      <c r="BE163" s="1"/>
      <c r="BF163" s="1"/>
      <c r="BG163" s="1"/>
      <c r="BH163" s="1"/>
      <c r="BI163" s="1"/>
      <c r="BJ163" s="1"/>
      <c r="BK163" s="1"/>
      <c r="BL163" s="1"/>
      <c r="BM163" s="1">
        <v>41095.25</v>
      </c>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row>
    <row r="164" spans="1:216" x14ac:dyDescent="0.3">
      <c r="A164" s="3" t="str">
        <f>HYPERLINK("https://hpr-rps.hres.ca/reg-content/summary-basis-decision-detailOne.php?lang=en&amp;linkID=SBD00165", "Zeldox")</f>
        <v>Zeldox</v>
      </c>
      <c r="B164" s="1" t="s">
        <v>488</v>
      </c>
      <c r="C164" s="1" t="s">
        <v>489</v>
      </c>
      <c r="D164" s="1" t="s">
        <v>490</v>
      </c>
      <c r="E164" s="1"/>
      <c r="F164" s="1"/>
      <c r="G164" s="1"/>
      <c r="H164" s="1">
        <v>35543.25</v>
      </c>
      <c r="I164" s="1"/>
      <c r="J164" s="1"/>
      <c r="K164" s="1"/>
      <c r="L164" s="1"/>
      <c r="M164" s="1"/>
      <c r="N164" s="1"/>
      <c r="O164" s="1"/>
      <c r="P164" s="1"/>
      <c r="Q164" s="1"/>
      <c r="R164" s="1"/>
      <c r="S164" s="1"/>
      <c r="T164" s="1"/>
      <c r="U164" s="1"/>
      <c r="V164" s="1"/>
      <c r="W164" s="1"/>
      <c r="X164" s="1"/>
      <c r="Y164" s="1"/>
      <c r="Z164" s="1"/>
      <c r="AA164" s="1"/>
      <c r="AB164" s="1"/>
      <c r="AC164" s="1"/>
      <c r="AD164" s="1"/>
      <c r="AE164" s="1"/>
      <c r="AF164" s="1">
        <v>35586.25</v>
      </c>
      <c r="AG164" s="1"/>
      <c r="AH164" s="1"/>
      <c r="AI164" s="1"/>
      <c r="AJ164" s="1"/>
      <c r="AK164" s="1"/>
      <c r="AL164" s="1"/>
      <c r="AM164" s="1"/>
      <c r="AN164" s="1"/>
      <c r="AO164" s="1"/>
      <c r="AP164" s="1"/>
      <c r="AQ164" s="1"/>
      <c r="AR164" s="1"/>
      <c r="AS164" s="1"/>
      <c r="AT164" s="1"/>
      <c r="AU164" s="1"/>
      <c r="AV164" s="1"/>
      <c r="AW164" s="1"/>
      <c r="AX164" s="1"/>
      <c r="AY164" s="1"/>
      <c r="AZ164" s="1">
        <v>35880.25</v>
      </c>
      <c r="BA164" s="1"/>
      <c r="BB164" s="1"/>
      <c r="BC164" s="1"/>
      <c r="BD164" s="1"/>
      <c r="BE164" s="1"/>
      <c r="BF164" s="1"/>
      <c r="BG164" s="1"/>
      <c r="BH164" s="1"/>
      <c r="BI164" s="1"/>
      <c r="BJ164" s="1"/>
      <c r="BK164" s="1"/>
      <c r="BL164" s="1"/>
      <c r="BM164" s="1"/>
      <c r="BN164" s="1"/>
      <c r="BO164" s="1"/>
      <c r="BP164" s="1"/>
      <c r="BQ164" s="1"/>
      <c r="BR164" s="1"/>
      <c r="BS164" s="1"/>
      <c r="BT164" s="1"/>
      <c r="BU164" s="1">
        <v>35881.25</v>
      </c>
      <c r="BV164" s="1"/>
      <c r="BW164" s="1"/>
      <c r="BX164" s="1"/>
      <c r="BY164" s="1">
        <v>35954.25</v>
      </c>
      <c r="BZ164" s="1"/>
      <c r="CA164" s="1"/>
      <c r="CB164" s="1"/>
      <c r="CC164" s="1"/>
      <c r="CD164" s="1"/>
      <c r="CE164" s="1"/>
      <c r="CF164" s="1"/>
      <c r="CG164" s="1"/>
      <c r="CH164" s="1"/>
      <c r="CI164" s="1"/>
      <c r="CJ164" s="1"/>
      <c r="CK164" s="1"/>
      <c r="CL164" s="1"/>
      <c r="CM164" s="1"/>
      <c r="CN164" s="1"/>
      <c r="CO164" s="1"/>
      <c r="CP164" s="1"/>
      <c r="CQ164" s="1"/>
      <c r="CR164" s="1">
        <v>35989.25</v>
      </c>
      <c r="CS164" s="1"/>
      <c r="CT164" s="1"/>
      <c r="CU164" s="1"/>
      <c r="CV164" s="1"/>
      <c r="CW164" s="1"/>
      <c r="CX164" s="1"/>
      <c r="CY164" s="1"/>
      <c r="CZ164" s="1"/>
      <c r="DA164" s="1"/>
      <c r="DB164" s="1"/>
      <c r="DC164" s="1"/>
      <c r="DD164" s="1"/>
      <c r="DE164" s="1">
        <v>36571.25</v>
      </c>
      <c r="DF164" s="1"/>
      <c r="DG164" s="1"/>
      <c r="DH164" s="1">
        <v>36458.25</v>
      </c>
      <c r="DI164" s="1"/>
      <c r="DJ164" s="1"/>
      <c r="DK164" s="1"/>
      <c r="DL164" s="1">
        <v>36471.25</v>
      </c>
      <c r="DM164" s="1"/>
      <c r="DN164" s="1"/>
      <c r="DO164" s="1"/>
      <c r="DP164" s="1"/>
      <c r="DQ164" s="1"/>
      <c r="DR164" s="1"/>
      <c r="DS164" s="1"/>
      <c r="DT164" s="1"/>
      <c r="DU164" s="1"/>
      <c r="DV164" s="1"/>
      <c r="DW164" s="1"/>
      <c r="DX164" s="1"/>
      <c r="DY164" s="1"/>
      <c r="DZ164" s="1"/>
      <c r="EA164" s="1"/>
      <c r="EB164" s="1"/>
      <c r="EC164" s="1"/>
      <c r="ED164" s="1"/>
      <c r="EE164" s="1"/>
      <c r="EF164" s="1">
        <v>36580.25</v>
      </c>
      <c r="EG164" s="1"/>
      <c r="EH164" s="1"/>
      <c r="EI164" s="1"/>
      <c r="EJ164" s="1"/>
      <c r="EK164" s="1">
        <v>36633.25</v>
      </c>
      <c r="EL164" s="1"/>
      <c r="EM164" s="1"/>
      <c r="EN164" s="1"/>
      <c r="EO164" s="1"/>
      <c r="EP164" s="1"/>
      <c r="EQ164" s="1"/>
      <c r="ER164" s="1"/>
      <c r="ES164" s="1"/>
      <c r="ET164" s="1"/>
      <c r="EU164" s="1"/>
      <c r="EV164" s="1"/>
      <c r="EW164" s="1"/>
      <c r="EX164" s="1"/>
      <c r="EY164" s="1"/>
      <c r="EZ164" s="1"/>
      <c r="FA164" s="1"/>
      <c r="FB164" s="1"/>
      <c r="FC164" s="1"/>
      <c r="FD164" s="1">
        <v>36670.25</v>
      </c>
      <c r="FE164" s="1"/>
      <c r="FF164" s="1"/>
      <c r="FG164" s="1"/>
      <c r="FH164" s="1"/>
      <c r="FI164" s="1"/>
      <c r="FJ164" s="1"/>
      <c r="FK164" s="1"/>
      <c r="FL164" s="1"/>
      <c r="FM164" s="1"/>
      <c r="FN164" s="1"/>
      <c r="FO164" s="1"/>
      <c r="FP164" s="1"/>
      <c r="FQ164" s="1"/>
      <c r="FR164" s="1"/>
      <c r="FS164" s="1"/>
      <c r="FT164" s="1">
        <v>36915.25</v>
      </c>
      <c r="FU164" s="1"/>
      <c r="FV164" s="1"/>
      <c r="FW164" s="1"/>
      <c r="FX164" s="1">
        <v>36775.25</v>
      </c>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v>37419.25</v>
      </c>
      <c r="HB164" s="1"/>
      <c r="HC164" s="1"/>
      <c r="HD164" s="1"/>
      <c r="HE164" s="1"/>
      <c r="HF164" s="1">
        <v>37007.25</v>
      </c>
      <c r="HG164" s="1"/>
      <c r="HH164" s="1"/>
    </row>
    <row r="165" spans="1:216" x14ac:dyDescent="0.3">
      <c r="A165" s="3" t="str">
        <f>HYPERLINK("https://hpr-rps.hres.ca/reg-content/summary-basis-decision-detailOne.php?lang=en&amp;linkID=SBD00166", "Zemplar")</f>
        <v>Zemplar</v>
      </c>
      <c r="B165" s="1" t="s">
        <v>491</v>
      </c>
      <c r="C165" s="1" t="s">
        <v>492</v>
      </c>
      <c r="D165" s="1" t="s">
        <v>493</v>
      </c>
      <c r="E165" s="1"/>
      <c r="F165" s="1"/>
      <c r="G165" s="1"/>
      <c r="H165" s="1">
        <v>37930.25</v>
      </c>
      <c r="I165" s="1"/>
      <c r="J165" s="1"/>
      <c r="K165" s="1"/>
      <c r="L165" s="1"/>
      <c r="M165" s="1"/>
      <c r="N165" s="1"/>
      <c r="O165" s="1"/>
      <c r="P165" s="1"/>
      <c r="Q165" s="1"/>
      <c r="R165" s="1"/>
      <c r="S165" s="1"/>
      <c r="T165" s="1"/>
      <c r="U165" s="1"/>
      <c r="V165" s="1"/>
      <c r="W165" s="1"/>
      <c r="X165" s="1"/>
      <c r="Y165" s="1"/>
      <c r="Z165" s="1">
        <v>37944.25</v>
      </c>
      <c r="AA165" s="1"/>
      <c r="AB165" s="1"/>
      <c r="AC165" s="1">
        <v>37998.25</v>
      </c>
      <c r="AD165" s="1"/>
      <c r="AE165" s="1"/>
      <c r="AF165" s="1">
        <v>38000.25</v>
      </c>
      <c r="AG165" s="1"/>
      <c r="AH165" s="1"/>
      <c r="AI165" s="1"/>
      <c r="AJ165" s="1"/>
      <c r="AK165" s="1"/>
      <c r="AL165" s="1"/>
      <c r="AM165" s="1"/>
      <c r="AN165" s="1"/>
      <c r="AO165" s="1"/>
      <c r="AP165" s="1"/>
      <c r="AQ165" s="1"/>
      <c r="AR165" s="1">
        <v>38434.25</v>
      </c>
      <c r="AS165" s="1"/>
      <c r="AT165" s="1"/>
      <c r="AU165" s="1"/>
      <c r="AV165" s="1">
        <v>38420.25</v>
      </c>
      <c r="AW165" s="1"/>
      <c r="AX165" s="1"/>
      <c r="AY165" s="1"/>
      <c r="AZ165" s="1">
        <v>38294.25</v>
      </c>
      <c r="BA165" s="1"/>
      <c r="BB165" s="1"/>
      <c r="BC165" s="1"/>
      <c r="BD165" s="1"/>
      <c r="BE165" s="1"/>
      <c r="BF165" s="1"/>
      <c r="BG165" s="1"/>
      <c r="BH165" s="1"/>
      <c r="BI165" s="1"/>
      <c r="BJ165" s="1"/>
      <c r="BK165" s="1"/>
      <c r="BL165" s="1"/>
      <c r="BM165" s="1">
        <v>38442.291666666657</v>
      </c>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row>
    <row r="166" spans="1:216" x14ac:dyDescent="0.3">
      <c r="A166" s="3" t="str">
        <f>HYPERLINK("https://hpr-rps.hres.ca/reg-content/summary-basis-decision-detailOne.php?lang=en&amp;linkID=SBD00167", "Zevalin ®")</f>
        <v>Zevalin ®</v>
      </c>
      <c r="B166" s="1" t="s">
        <v>494</v>
      </c>
      <c r="C166" s="1" t="s">
        <v>244</v>
      </c>
      <c r="D166" s="1" t="s">
        <v>495</v>
      </c>
      <c r="E166" s="1">
        <v>37159.25</v>
      </c>
      <c r="F166" s="1"/>
      <c r="G166" s="1"/>
      <c r="H166" s="1"/>
      <c r="I166" s="1"/>
      <c r="J166" s="1"/>
      <c r="K166" s="1"/>
      <c r="L166" s="1"/>
      <c r="M166" s="1"/>
      <c r="N166" s="1">
        <v>37208.25</v>
      </c>
      <c r="O166" s="1"/>
      <c r="P166" s="1"/>
      <c r="Q166" s="1"/>
      <c r="R166" s="1"/>
      <c r="S166" s="1">
        <v>37242.25</v>
      </c>
      <c r="T166" s="1"/>
      <c r="U166" s="1"/>
      <c r="V166" s="1">
        <v>37302.25</v>
      </c>
      <c r="W166" s="1"/>
      <c r="X166" s="1"/>
      <c r="Y166" s="1"/>
      <c r="Z166" s="1">
        <v>37351.291666666657</v>
      </c>
      <c r="AA166" s="1"/>
      <c r="AB166" s="1"/>
      <c r="AC166" s="1">
        <v>37382.25</v>
      </c>
      <c r="AD166" s="1">
        <v>37572.25</v>
      </c>
      <c r="AE166" s="1"/>
      <c r="AF166" s="1">
        <v>37386.25</v>
      </c>
      <c r="AG166" s="1"/>
      <c r="AH166" s="1"/>
      <c r="AI166" s="1"/>
      <c r="AJ166" s="1"/>
      <c r="AK166" s="1"/>
      <c r="AL166" s="1"/>
      <c r="AM166" s="1"/>
      <c r="AN166" s="1"/>
      <c r="AO166" s="1"/>
      <c r="AP166" s="1"/>
      <c r="AQ166" s="1"/>
      <c r="AR166" s="1">
        <v>38475.25</v>
      </c>
      <c r="AS166" s="1"/>
      <c r="AT166" s="1"/>
      <c r="AU166" s="1"/>
      <c r="AV166" s="1">
        <v>38475.25</v>
      </c>
      <c r="AW166" s="1"/>
      <c r="AX166" s="1"/>
      <c r="AY166" s="1"/>
      <c r="AZ166" s="1">
        <v>38448.25</v>
      </c>
      <c r="BA166" s="1">
        <v>38448.25</v>
      </c>
      <c r="BB166" s="1"/>
      <c r="BC166" s="1"/>
      <c r="BD166" s="1"/>
      <c r="BE166" s="1"/>
      <c r="BF166" s="1"/>
      <c r="BG166" s="1"/>
      <c r="BH166" s="1"/>
      <c r="BI166" s="1"/>
      <c r="BJ166" s="1"/>
      <c r="BK166" s="1"/>
      <c r="BL166" s="1"/>
      <c r="BM166" s="1">
        <v>38482.25</v>
      </c>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row>
    <row r="167" spans="1:216" x14ac:dyDescent="0.3">
      <c r="A167" s="3" t="str">
        <f>HYPERLINK("https://hpr-rps.hres.ca/reg-content/summary-basis-decision-detailOne.php?lang=en&amp;linkID=SBD00168", "Zolinza TM")</f>
        <v>Zolinza TM</v>
      </c>
      <c r="B167" s="1" t="s">
        <v>496</v>
      </c>
      <c r="C167" s="1" t="s">
        <v>212</v>
      </c>
      <c r="D167" s="1" t="s">
        <v>497</v>
      </c>
      <c r="E167" s="1">
        <v>39364.25</v>
      </c>
      <c r="F167" s="1"/>
      <c r="G167" s="1"/>
      <c r="H167" s="1">
        <v>39626.25</v>
      </c>
      <c r="I167" s="1"/>
      <c r="J167" s="1"/>
      <c r="K167" s="1"/>
      <c r="L167" s="1"/>
      <c r="M167" s="1"/>
      <c r="N167" s="1"/>
      <c r="O167" s="1"/>
      <c r="P167" s="1"/>
      <c r="Q167" s="1"/>
      <c r="R167" s="1"/>
      <c r="S167" s="1"/>
      <c r="T167" s="1"/>
      <c r="U167" s="1"/>
      <c r="V167" s="1"/>
      <c r="W167" s="1"/>
      <c r="X167" s="1"/>
      <c r="Y167" s="1"/>
      <c r="Z167" s="1"/>
      <c r="AA167" s="1"/>
      <c r="AB167" s="1"/>
      <c r="AC167" s="1"/>
      <c r="AD167" s="1"/>
      <c r="AE167" s="1"/>
      <c r="AF167" s="1">
        <v>39675.25</v>
      </c>
      <c r="AG167" s="1"/>
      <c r="AH167" s="1"/>
      <c r="AI167" s="1"/>
      <c r="AJ167" s="1"/>
      <c r="AK167" s="1"/>
      <c r="AL167" s="1"/>
      <c r="AM167" s="1"/>
      <c r="AN167" s="1"/>
      <c r="AO167" s="1"/>
      <c r="AP167" s="1"/>
      <c r="AQ167" s="1"/>
      <c r="AR167" s="1">
        <v>39974.25</v>
      </c>
      <c r="AS167" s="1"/>
      <c r="AT167" s="1"/>
      <c r="AU167" s="1"/>
      <c r="AV167" s="1">
        <v>39972.25</v>
      </c>
      <c r="AW167" s="1"/>
      <c r="AX167" s="1"/>
      <c r="AY167" s="1"/>
      <c r="AZ167" s="1">
        <v>39975.25</v>
      </c>
      <c r="BA167" s="1"/>
      <c r="BB167" s="1"/>
      <c r="BC167" s="1"/>
      <c r="BD167" s="1"/>
      <c r="BE167" s="1"/>
      <c r="BF167" s="1"/>
      <c r="BG167" s="1"/>
      <c r="BH167" s="1"/>
      <c r="BI167" s="1"/>
      <c r="BJ167" s="1"/>
      <c r="BK167" s="1"/>
      <c r="BL167" s="1"/>
      <c r="BM167" s="1">
        <v>39975.25</v>
      </c>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row>
    <row r="168" spans="1:216" x14ac:dyDescent="0.3">
      <c r="A168" s="3" t="str">
        <f>HYPERLINK("https://hpr-rps.hres.ca/reg-content/summary-basis-decision-detailOne.php?lang=en&amp;linkID=SBD00169", "Zytiga TM")</f>
        <v>Zytiga TM</v>
      </c>
      <c r="B168" s="1" t="s">
        <v>498</v>
      </c>
      <c r="C168" s="1" t="s">
        <v>201</v>
      </c>
      <c r="D168" s="1" t="s">
        <v>499</v>
      </c>
      <c r="E168" s="1">
        <v>40521.25</v>
      </c>
      <c r="F168" s="1"/>
      <c r="G168" s="1"/>
      <c r="H168" s="1"/>
      <c r="I168" s="1"/>
      <c r="J168" s="1"/>
      <c r="K168" s="1"/>
      <c r="L168" s="1"/>
      <c r="M168" s="1"/>
      <c r="N168" s="1">
        <v>40494.25</v>
      </c>
      <c r="O168" s="1"/>
      <c r="P168" s="1"/>
      <c r="Q168" s="1"/>
      <c r="R168" s="1"/>
      <c r="S168" s="1">
        <v>40535.25</v>
      </c>
      <c r="T168" s="1"/>
      <c r="U168" s="1"/>
      <c r="V168" s="1">
        <v>40535.25</v>
      </c>
      <c r="W168" s="1"/>
      <c r="X168" s="1"/>
      <c r="Y168" s="1"/>
      <c r="Z168" s="1"/>
      <c r="AA168" s="1"/>
      <c r="AB168" s="1"/>
      <c r="AC168" s="1"/>
      <c r="AD168" s="1"/>
      <c r="AE168" s="1"/>
      <c r="AF168" s="1">
        <v>40571.25</v>
      </c>
      <c r="AG168" s="1"/>
      <c r="AH168" s="1"/>
      <c r="AI168" s="1"/>
      <c r="AJ168" s="1"/>
      <c r="AK168" s="1"/>
      <c r="AL168" s="1"/>
      <c r="AM168" s="1"/>
      <c r="AN168" s="1"/>
      <c r="AO168" s="1"/>
      <c r="AP168" s="1"/>
      <c r="AQ168" s="1"/>
      <c r="AR168" s="1">
        <v>40750.25</v>
      </c>
      <c r="AS168" s="1">
        <v>40676.25</v>
      </c>
      <c r="AT168" s="1"/>
      <c r="AU168" s="1"/>
      <c r="AV168" s="1">
        <v>40749.25</v>
      </c>
      <c r="AW168" s="1"/>
      <c r="AX168" s="1">
        <v>40714.25</v>
      </c>
      <c r="AY168" s="1"/>
      <c r="AZ168" s="1">
        <v>40750.25</v>
      </c>
      <c r="BA168" s="1"/>
      <c r="BB168" s="1"/>
      <c r="BC168" s="1"/>
      <c r="BD168" s="1"/>
      <c r="BE168" s="1"/>
      <c r="BF168" s="1"/>
      <c r="BG168" s="1"/>
      <c r="BH168" s="1"/>
      <c r="BI168" s="1"/>
      <c r="BJ168" s="1"/>
      <c r="BK168" s="1"/>
      <c r="BL168" s="1"/>
      <c r="BM168" s="1">
        <v>40750.25</v>
      </c>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row>
    <row r="169" spans="1:216" x14ac:dyDescent="0.3">
      <c r="A169" s="3" t="str">
        <f>HYPERLINK("https://hpr-rps.hres.ca/reg-content/summary-basis-decision-detailTwo.php?lang=en&amp;linkID=SBD00170", "Adcetris")</f>
        <v>Adcetris</v>
      </c>
      <c r="B169" s="1" t="s">
        <v>500</v>
      </c>
      <c r="C169" s="1" t="s">
        <v>501</v>
      </c>
      <c r="D169" s="1" t="s">
        <v>502</v>
      </c>
      <c r="E169" s="1">
        <v>40941.25</v>
      </c>
      <c r="F169" s="1"/>
      <c r="G169" s="1">
        <v>41004.25</v>
      </c>
      <c r="H169" s="1">
        <v>41010.25</v>
      </c>
      <c r="I169" s="1"/>
      <c r="J169" s="1"/>
      <c r="K169" s="1"/>
      <c r="L169" s="1"/>
      <c r="M169" s="1"/>
      <c r="N169" s="1"/>
      <c r="O169" s="1"/>
      <c r="P169" s="1"/>
      <c r="Q169" s="1"/>
      <c r="R169" s="1"/>
      <c r="S169" s="1"/>
      <c r="T169" s="1"/>
      <c r="U169" s="1"/>
      <c r="V169" s="1"/>
      <c r="W169" s="1"/>
      <c r="X169" s="1"/>
      <c r="Y169" s="1"/>
      <c r="Z169" s="1"/>
      <c r="AA169" s="1"/>
      <c r="AB169" s="1"/>
      <c r="AC169" s="1"/>
      <c r="AD169" s="1"/>
      <c r="AE169" s="1"/>
      <c r="AF169" s="1">
        <v>41051.25</v>
      </c>
      <c r="AG169" s="1"/>
      <c r="AH169" s="1"/>
      <c r="AI169" s="1"/>
      <c r="AJ169" s="1"/>
      <c r="AK169" s="1"/>
      <c r="AL169" s="1"/>
      <c r="AM169" s="1"/>
      <c r="AN169" s="1"/>
      <c r="AO169" s="1"/>
      <c r="AP169" s="1"/>
      <c r="AQ169" s="1"/>
      <c r="AR169" s="1">
        <v>41247.25</v>
      </c>
      <c r="AS169" s="1"/>
      <c r="AT169" s="1"/>
      <c r="AU169" s="1"/>
      <c r="AV169" s="1">
        <v>41250.25</v>
      </c>
      <c r="AW169" s="1"/>
      <c r="AX169" s="1">
        <v>41250.25</v>
      </c>
      <c r="AY169" s="1"/>
      <c r="AZ169" s="1">
        <v>41250.25</v>
      </c>
      <c r="BA169" s="1"/>
      <c r="BB169" s="1"/>
      <c r="BC169" s="1"/>
      <c r="BD169" s="1"/>
      <c r="BE169" s="1"/>
      <c r="BF169" s="1"/>
      <c r="BG169" s="1"/>
      <c r="BH169" s="1"/>
      <c r="BI169" s="1"/>
      <c r="BJ169" s="1"/>
      <c r="BK169" s="1"/>
      <c r="BL169" s="1">
        <v>41250.25</v>
      </c>
      <c r="BM169" s="1">
        <v>41306.25</v>
      </c>
      <c r="BN169" s="1"/>
      <c r="BO169" s="1"/>
      <c r="BP169" s="1"/>
      <c r="BQ169" s="1"/>
      <c r="BR169" s="1"/>
      <c r="BS169" s="1"/>
      <c r="BT169" s="1"/>
      <c r="BU169" s="1"/>
      <c r="BV169" s="1"/>
      <c r="BW169" s="1"/>
      <c r="BX169" s="1"/>
      <c r="BY169" s="1">
        <v>41267.25</v>
      </c>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row>
    <row r="170" spans="1:216" x14ac:dyDescent="0.3">
      <c r="A170" s="3" t="str">
        <f>HYPERLINK("https://hpr-rps.hres.ca/reg-content/summary-basis-decision-detailTwo.php?lang=en&amp;linkID=SBD00171", "Adempas")</f>
        <v>Adempas</v>
      </c>
      <c r="B170" s="1" t="s">
        <v>503</v>
      </c>
      <c r="C170" s="1" t="s">
        <v>338</v>
      </c>
      <c r="D170" s="1" t="s">
        <v>504</v>
      </c>
      <c r="E170" s="1">
        <v>41214.208333333343</v>
      </c>
      <c r="F170" s="1"/>
      <c r="G170" s="1"/>
      <c r="H170" s="1"/>
      <c r="I170" s="1"/>
      <c r="J170" s="1"/>
      <c r="K170" s="1"/>
      <c r="L170" s="1"/>
      <c r="M170" s="1"/>
      <c r="N170" s="1">
        <v>41263.25</v>
      </c>
      <c r="O170" s="1"/>
      <c r="P170" s="1"/>
      <c r="Q170" s="1"/>
      <c r="R170" s="1"/>
      <c r="S170" s="1">
        <v>41292.25</v>
      </c>
      <c r="T170" s="1"/>
      <c r="U170" s="1"/>
      <c r="V170" s="1">
        <v>41330.25</v>
      </c>
      <c r="W170" s="1"/>
      <c r="X170" s="1"/>
      <c r="Y170" s="1"/>
      <c r="Z170" s="1"/>
      <c r="AA170" s="1"/>
      <c r="AB170" s="1"/>
      <c r="AC170" s="1"/>
      <c r="AD170" s="1"/>
      <c r="AE170" s="1"/>
      <c r="AF170" s="1">
        <v>41358.208333333343</v>
      </c>
      <c r="AG170" s="1"/>
      <c r="AH170" s="1"/>
      <c r="AI170" s="1"/>
      <c r="AJ170" s="1"/>
      <c r="AK170" s="1"/>
      <c r="AL170" s="1"/>
      <c r="AM170" s="1"/>
      <c r="AN170" s="1"/>
      <c r="AO170" s="1"/>
      <c r="AP170" s="1"/>
      <c r="AQ170" s="1"/>
      <c r="AR170" s="1">
        <v>41530.25</v>
      </c>
      <c r="AS170" s="1">
        <v>41446.25</v>
      </c>
      <c r="AT170" s="1"/>
      <c r="AU170" s="1"/>
      <c r="AV170" s="1">
        <v>41529.25</v>
      </c>
      <c r="AW170" s="1"/>
      <c r="AX170" s="1"/>
      <c r="AY170" s="1"/>
      <c r="AZ170" s="1">
        <v>41534.25</v>
      </c>
      <c r="BA170" s="1"/>
      <c r="BB170" s="1"/>
      <c r="BC170" s="1"/>
      <c r="BD170" s="1"/>
      <c r="BE170" s="1"/>
      <c r="BF170" s="1"/>
      <c r="BG170" s="1"/>
      <c r="BH170" s="1"/>
      <c r="BI170" s="1"/>
      <c r="BJ170" s="1"/>
      <c r="BK170" s="1"/>
      <c r="BL170" s="1"/>
      <c r="BM170" s="1">
        <v>41536.25</v>
      </c>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row>
    <row r="171" spans="1:216" x14ac:dyDescent="0.3">
      <c r="A171" s="3" t="str">
        <f>HYPERLINK("https://hpr-rps.hres.ca/reg-content/summary-basis-decision-detailTwo.php?lang=en&amp;linkID=SBD00172", "Alprolix")</f>
        <v>Alprolix</v>
      </c>
      <c r="B171" s="1" t="s">
        <v>505</v>
      </c>
      <c r="C171" s="1" t="s">
        <v>506</v>
      </c>
      <c r="D171" s="1" t="s">
        <v>507</v>
      </c>
      <c r="E171" s="1">
        <v>41305.25</v>
      </c>
      <c r="F171" s="1"/>
      <c r="G171" s="1"/>
      <c r="H171" s="1"/>
      <c r="I171" s="1"/>
      <c r="J171" s="1"/>
      <c r="K171" s="1"/>
      <c r="L171" s="1"/>
      <c r="M171" s="1"/>
      <c r="N171" s="1">
        <v>41318.25</v>
      </c>
      <c r="O171" s="1"/>
      <c r="P171" s="1"/>
      <c r="Q171" s="1"/>
      <c r="R171" s="1"/>
      <c r="S171" s="1"/>
      <c r="T171" s="1">
        <v>41339.25</v>
      </c>
      <c r="U171" s="1"/>
      <c r="V171" s="1">
        <v>41361.208333333343</v>
      </c>
      <c r="W171" s="1"/>
      <c r="X171" s="1"/>
      <c r="Y171" s="1"/>
      <c r="Z171" s="1"/>
      <c r="AA171" s="1"/>
      <c r="AB171" s="1"/>
      <c r="AC171" s="1"/>
      <c r="AD171" s="1"/>
      <c r="AE171" s="1"/>
      <c r="AF171" s="1">
        <v>41418.25</v>
      </c>
      <c r="AG171" s="1"/>
      <c r="AH171" s="1"/>
      <c r="AI171" s="1"/>
      <c r="AJ171" s="1"/>
      <c r="AK171" s="1"/>
      <c r="AL171" s="1"/>
      <c r="AM171" s="1"/>
      <c r="AN171" s="1"/>
      <c r="AO171" s="1">
        <v>41673.25</v>
      </c>
      <c r="AP171" s="1"/>
      <c r="AQ171" s="1"/>
      <c r="AR171" s="1">
        <v>41716.208333333343</v>
      </c>
      <c r="AS171" s="1"/>
      <c r="AT171" s="1"/>
      <c r="AU171" s="1"/>
      <c r="AV171" s="1">
        <v>41718.208333333343</v>
      </c>
      <c r="AW171" s="1"/>
      <c r="AX171" s="1">
        <v>41716.208333333343</v>
      </c>
      <c r="AY171" s="1"/>
      <c r="AZ171" s="1">
        <v>41717.208333333343</v>
      </c>
      <c r="BA171" s="1"/>
      <c r="BB171" s="1"/>
      <c r="BC171" s="1"/>
      <c r="BD171" s="1"/>
      <c r="BE171" s="1"/>
      <c r="BF171" s="1"/>
      <c r="BG171" s="1"/>
      <c r="BH171" s="1"/>
      <c r="BI171" s="1"/>
      <c r="BJ171" s="1"/>
      <c r="BK171" s="1"/>
      <c r="BL171" s="1"/>
      <c r="BM171" s="1">
        <v>41718.208333333343</v>
      </c>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row>
    <row r="172" spans="1:216" x14ac:dyDescent="0.3">
      <c r="A172" s="3" t="str">
        <f>HYPERLINK("https://hpr-rps.hres.ca/reg-content/summary-basis-decision-detailTwo.php?lang=en&amp;linkID=SBD00173", "Bosulif")</f>
        <v>Bosulif</v>
      </c>
      <c r="B172" s="1" t="s">
        <v>508</v>
      </c>
      <c r="C172" s="1" t="s">
        <v>143</v>
      </c>
      <c r="D172" s="1" t="s">
        <v>509</v>
      </c>
      <c r="E172" s="1">
        <v>40815.25</v>
      </c>
      <c r="F172" s="1"/>
      <c r="G172" s="1"/>
      <c r="H172" s="1">
        <v>40893.25</v>
      </c>
      <c r="I172" s="1"/>
      <c r="J172" s="1"/>
      <c r="K172" s="1"/>
      <c r="L172" s="1"/>
      <c r="M172" s="1"/>
      <c r="N172" s="1"/>
      <c r="O172" s="1"/>
      <c r="P172" s="1"/>
      <c r="Q172" s="1"/>
      <c r="R172" s="1"/>
      <c r="S172" s="1"/>
      <c r="T172" s="1"/>
      <c r="U172" s="1"/>
      <c r="V172" s="1"/>
      <c r="W172" s="1"/>
      <c r="X172" s="1"/>
      <c r="Y172" s="1"/>
      <c r="Z172" s="1">
        <v>40942.25</v>
      </c>
      <c r="AA172" s="1"/>
      <c r="AB172" s="1"/>
      <c r="AC172" s="1">
        <v>40947.25</v>
      </c>
      <c r="AD172" s="1"/>
      <c r="AE172" s="1"/>
      <c r="AF172" s="1">
        <v>40955.25</v>
      </c>
      <c r="AG172" s="1"/>
      <c r="AH172" s="1"/>
      <c r="AI172" s="1"/>
      <c r="AJ172" s="1"/>
      <c r="AK172" s="1"/>
      <c r="AL172" s="1"/>
      <c r="AM172" s="1"/>
      <c r="AN172" s="1"/>
      <c r="AO172" s="1"/>
      <c r="AP172" s="1"/>
      <c r="AQ172" s="1"/>
      <c r="AR172" s="1">
        <v>41226.25</v>
      </c>
      <c r="AS172" s="1">
        <v>41226.25</v>
      </c>
      <c r="AT172" s="1"/>
      <c r="AU172" s="1"/>
      <c r="AV172" s="1">
        <v>41226.25</v>
      </c>
      <c r="AW172" s="1"/>
      <c r="AX172" s="1"/>
      <c r="AY172" s="1"/>
      <c r="AZ172" s="1">
        <v>41228.25</v>
      </c>
      <c r="BA172" s="1"/>
      <c r="BB172" s="1"/>
      <c r="BC172" s="1"/>
      <c r="BD172" s="1"/>
      <c r="BE172" s="1"/>
      <c r="BF172" s="1"/>
      <c r="BG172" s="1"/>
      <c r="BH172" s="1"/>
      <c r="BI172" s="1"/>
      <c r="BJ172" s="1"/>
      <c r="BK172" s="1"/>
      <c r="BL172" s="1"/>
      <c r="BM172" s="1"/>
      <c r="BN172" s="1"/>
      <c r="BO172" s="1"/>
      <c r="BP172" s="1">
        <v>41232.25</v>
      </c>
      <c r="BQ172" s="1"/>
      <c r="BR172" s="1"/>
      <c r="BS172" s="1"/>
      <c r="BT172" s="1"/>
      <c r="BU172" s="1"/>
      <c r="BV172" s="1"/>
      <c r="BW172" s="1"/>
      <c r="BX172" s="1"/>
      <c r="BY172" s="1">
        <v>41320.25</v>
      </c>
      <c r="BZ172" s="1"/>
      <c r="CA172" s="1"/>
      <c r="CB172" s="1"/>
      <c r="CC172" s="1"/>
      <c r="CD172" s="1"/>
      <c r="CE172" s="1"/>
      <c r="CF172" s="1"/>
      <c r="CG172" s="1"/>
      <c r="CH172" s="1"/>
      <c r="CI172" s="1"/>
      <c r="CJ172" s="1"/>
      <c r="CK172" s="1"/>
      <c r="CL172" s="1"/>
      <c r="CM172" s="1"/>
      <c r="CN172" s="1"/>
      <c r="CO172" s="1"/>
      <c r="CP172" s="1"/>
      <c r="CQ172" s="1"/>
      <c r="CR172" s="1">
        <v>41351.208333333343</v>
      </c>
      <c r="CS172" s="1"/>
      <c r="CT172" s="1"/>
      <c r="CU172" s="1"/>
      <c r="CV172" s="1"/>
      <c r="CW172" s="1"/>
      <c r="CX172" s="1"/>
      <c r="CY172" s="1"/>
      <c r="CZ172" s="1"/>
      <c r="DA172" s="1"/>
      <c r="DB172" s="1"/>
      <c r="DC172" s="1"/>
      <c r="DD172" s="1">
        <v>41648.25</v>
      </c>
      <c r="DE172" s="1"/>
      <c r="DF172" s="1"/>
      <c r="DG172" s="1"/>
      <c r="DH172" s="1">
        <v>41624.25</v>
      </c>
      <c r="DI172" s="1"/>
      <c r="DJ172" s="1">
        <v>41548.25</v>
      </c>
      <c r="DK172" s="1"/>
      <c r="DL172" s="1">
        <v>41648.25</v>
      </c>
      <c r="DM172" s="1"/>
      <c r="DN172" s="1"/>
      <c r="DO172" s="1"/>
      <c r="DP172" s="1"/>
      <c r="DQ172" s="1"/>
      <c r="DR172" s="1"/>
      <c r="DS172" s="1"/>
      <c r="DT172" s="1"/>
      <c r="DU172" s="1"/>
      <c r="DV172" s="1"/>
      <c r="DW172" s="1"/>
      <c r="DX172" s="1">
        <v>41649.25</v>
      </c>
      <c r="DY172" s="1">
        <v>41705.25</v>
      </c>
      <c r="DZ172" s="1"/>
      <c r="EA172" s="1"/>
      <c r="EB172" s="1"/>
      <c r="EC172" s="1"/>
      <c r="ED172" s="1"/>
      <c r="EE172" s="1"/>
      <c r="EF172" s="1"/>
      <c r="EG172" s="1"/>
      <c r="EH172" s="1"/>
      <c r="EI172" s="1"/>
      <c r="EJ172" s="1"/>
      <c r="EK172" s="1">
        <v>41669.25</v>
      </c>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row>
    <row r="173" spans="1:216" x14ac:dyDescent="0.3">
      <c r="A173" s="3" t="str">
        <f>HYPERLINK("https://hpr-rps.hres.ca/reg-content/summary-basis-decision-detailTwo.php?lang=en&amp;linkID=SBD00174", "Breo Ellipta")</f>
        <v>Breo Ellipta</v>
      </c>
      <c r="B173" s="1" t="s">
        <v>510</v>
      </c>
      <c r="C173" s="1" t="s">
        <v>96</v>
      </c>
      <c r="D173" s="1" t="s">
        <v>511</v>
      </c>
      <c r="E173" s="1">
        <v>41059.25</v>
      </c>
      <c r="F173" s="1"/>
      <c r="G173" s="1"/>
      <c r="H173" s="1">
        <v>41110.25</v>
      </c>
      <c r="I173" s="1"/>
      <c r="J173" s="1"/>
      <c r="K173" s="1"/>
      <c r="L173" s="1"/>
      <c r="M173" s="1"/>
      <c r="N173" s="1"/>
      <c r="O173" s="1"/>
      <c r="P173" s="1"/>
      <c r="Q173" s="1"/>
      <c r="R173" s="1"/>
      <c r="S173" s="1"/>
      <c r="T173" s="1"/>
      <c r="U173" s="1"/>
      <c r="V173" s="1"/>
      <c r="W173" s="1"/>
      <c r="X173" s="1"/>
      <c r="Y173" s="1"/>
      <c r="Z173" s="1"/>
      <c r="AA173" s="1"/>
      <c r="AB173" s="1"/>
      <c r="AC173" s="1"/>
      <c r="AD173" s="1"/>
      <c r="AE173" s="1"/>
      <c r="AF173" s="1">
        <v>41159.25</v>
      </c>
      <c r="AG173" s="1"/>
      <c r="AH173" s="1"/>
      <c r="AI173" s="1"/>
      <c r="AJ173" s="1"/>
      <c r="AK173" s="1"/>
      <c r="AL173" s="1"/>
      <c r="AM173" s="1"/>
      <c r="AN173" s="1"/>
      <c r="AO173" s="1"/>
      <c r="AP173" s="1"/>
      <c r="AQ173" s="1"/>
      <c r="AR173" s="1">
        <v>41452.25</v>
      </c>
      <c r="AS173" s="1"/>
      <c r="AT173" s="1"/>
      <c r="AU173" s="1"/>
      <c r="AV173" s="1">
        <v>41442.25</v>
      </c>
      <c r="AW173" s="1"/>
      <c r="AX173" s="1"/>
      <c r="AY173" s="1"/>
      <c r="AZ173" s="1">
        <v>41452.25</v>
      </c>
      <c r="BA173" s="1"/>
      <c r="BB173" s="1"/>
      <c r="BC173" s="1"/>
      <c r="BD173" s="1"/>
      <c r="BE173" s="1"/>
      <c r="BF173" s="1"/>
      <c r="BG173" s="1"/>
      <c r="BH173" s="1"/>
      <c r="BI173" s="1"/>
      <c r="BJ173" s="1"/>
      <c r="BK173" s="1"/>
      <c r="BL173" s="1"/>
      <c r="BM173" s="1">
        <v>41458.25</v>
      </c>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row>
    <row r="174" spans="1:216" x14ac:dyDescent="0.3">
      <c r="A174" s="3" t="str">
        <f>HYPERLINK("https://hpr-rps.hres.ca/reg-content/summary-basis-decision-detailTwo.php?lang=en&amp;linkID=SBD00175", "Bystolic")</f>
        <v>Bystolic</v>
      </c>
      <c r="B174" s="1" t="s">
        <v>512</v>
      </c>
      <c r="C174" s="1" t="s">
        <v>513</v>
      </c>
      <c r="D174" s="1" t="s">
        <v>514</v>
      </c>
      <c r="E174" s="1">
        <v>40612.25</v>
      </c>
      <c r="F174" s="1"/>
      <c r="G174" s="1"/>
      <c r="H174" s="1">
        <v>40900.25</v>
      </c>
      <c r="I174" s="1"/>
      <c r="J174" s="1"/>
      <c r="K174" s="1"/>
      <c r="L174" s="1"/>
      <c r="M174" s="1"/>
      <c r="N174" s="1"/>
      <c r="O174" s="1"/>
      <c r="P174" s="1"/>
      <c r="Q174" s="1"/>
      <c r="R174" s="1"/>
      <c r="S174" s="1"/>
      <c r="T174" s="1"/>
      <c r="U174" s="1"/>
      <c r="V174" s="1"/>
      <c r="W174" s="1"/>
      <c r="X174" s="1"/>
      <c r="Y174" s="1"/>
      <c r="Z174" s="1"/>
      <c r="AA174" s="1"/>
      <c r="AB174" s="1"/>
      <c r="AC174" s="1"/>
      <c r="AD174" s="1"/>
      <c r="AE174" s="1"/>
      <c r="AF174" s="1">
        <v>40970.25</v>
      </c>
      <c r="AG174" s="1"/>
      <c r="AH174" s="1"/>
      <c r="AI174" s="1"/>
      <c r="AJ174" s="1"/>
      <c r="AK174" s="1"/>
      <c r="AL174" s="1"/>
      <c r="AM174" s="1"/>
      <c r="AN174" s="1"/>
      <c r="AO174" s="1"/>
      <c r="AP174" s="1"/>
      <c r="AQ174" s="1"/>
      <c r="AR174" s="1">
        <v>41262.25</v>
      </c>
      <c r="AS174" s="1"/>
      <c r="AT174" s="1"/>
      <c r="AU174" s="1"/>
      <c r="AV174" s="1">
        <v>41256.25</v>
      </c>
      <c r="AW174" s="1"/>
      <c r="AX174" s="1">
        <v>41159.25</v>
      </c>
      <c r="AY174" s="1"/>
      <c r="AZ174" s="1">
        <v>41262.25</v>
      </c>
      <c r="BA174" s="1"/>
      <c r="BB174" s="1"/>
      <c r="BC174" s="1"/>
      <c r="BD174" s="1"/>
      <c r="BE174" s="1"/>
      <c r="BF174" s="1"/>
      <c r="BG174" s="1"/>
      <c r="BH174" s="1"/>
      <c r="BI174" s="1"/>
      <c r="BJ174" s="1"/>
      <c r="BK174" s="1"/>
      <c r="BL174" s="1"/>
      <c r="BM174" s="1">
        <v>41264.25</v>
      </c>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row>
    <row r="175" spans="1:216" x14ac:dyDescent="0.3">
      <c r="A175" s="3" t="str">
        <f>HYPERLINK("https://hpr-rps.hres.ca/reg-content/summary-basis-decision-detailTwo.php?lang=en&amp;linkID=SBD00176", "Carbaglu")</f>
        <v>Carbaglu</v>
      </c>
      <c r="B175" s="1" t="s">
        <v>515</v>
      </c>
      <c r="C175" s="1" t="s">
        <v>516</v>
      </c>
      <c r="D175" s="1" t="s">
        <v>517</v>
      </c>
      <c r="E175" s="1">
        <v>41236.25</v>
      </c>
      <c r="F175" s="1"/>
      <c r="G175" s="1"/>
      <c r="H175" s="1"/>
      <c r="I175" s="1"/>
      <c r="J175" s="1"/>
      <c r="K175" s="1"/>
      <c r="L175" s="1"/>
      <c r="M175" s="1"/>
      <c r="N175" s="1">
        <v>41562.25</v>
      </c>
      <c r="O175" s="1"/>
      <c r="P175" s="1"/>
      <c r="Q175" s="1"/>
      <c r="R175" s="1"/>
      <c r="S175" s="1">
        <v>41593.25</v>
      </c>
      <c r="T175" s="1"/>
      <c r="U175" s="1"/>
      <c r="V175" s="1">
        <v>41653.25</v>
      </c>
      <c r="W175" s="1"/>
      <c r="X175" s="1"/>
      <c r="Y175" s="1"/>
      <c r="Z175" s="1"/>
      <c r="AA175" s="1"/>
      <c r="AB175" s="1"/>
      <c r="AC175" s="1"/>
      <c r="AD175" s="1"/>
      <c r="AE175" s="1"/>
      <c r="AF175" s="1">
        <v>41768.25</v>
      </c>
      <c r="AG175" s="1"/>
      <c r="AH175" s="1"/>
      <c r="AI175" s="1"/>
      <c r="AJ175" s="1"/>
      <c r="AK175" s="1"/>
      <c r="AL175" s="1"/>
      <c r="AM175" s="1"/>
      <c r="AN175" s="1"/>
      <c r="AO175" s="1"/>
      <c r="AP175" s="1"/>
      <c r="AQ175" s="1"/>
      <c r="AR175" s="1">
        <v>41935.25</v>
      </c>
      <c r="AS175" s="1"/>
      <c r="AT175" s="1"/>
      <c r="AU175" s="1"/>
      <c r="AV175" s="1">
        <v>41948.25</v>
      </c>
      <c r="AW175" s="1"/>
      <c r="AX175" s="1"/>
      <c r="AY175" s="1"/>
      <c r="AZ175" s="1">
        <v>41950.25</v>
      </c>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v>41997.25</v>
      </c>
      <c r="BZ175" s="1"/>
      <c r="CA175" s="1"/>
      <c r="CB175" s="1"/>
      <c r="CC175" s="1"/>
      <c r="CD175" s="1"/>
      <c r="CE175" s="1"/>
      <c r="CF175" s="1"/>
      <c r="CG175" s="1"/>
      <c r="CH175" s="1"/>
      <c r="CI175" s="1"/>
      <c r="CJ175" s="1"/>
      <c r="CK175" s="1"/>
      <c r="CL175" s="1"/>
      <c r="CM175" s="1"/>
      <c r="CN175" s="1"/>
      <c r="CO175" s="1"/>
      <c r="CP175" s="1"/>
      <c r="CQ175" s="1"/>
      <c r="CR175" s="1">
        <v>42025.25</v>
      </c>
      <c r="CS175" s="1"/>
      <c r="CT175" s="1"/>
      <c r="CU175" s="1"/>
      <c r="CV175" s="1"/>
      <c r="CW175" s="1"/>
      <c r="CX175" s="1"/>
      <c r="CY175" s="1"/>
      <c r="CZ175" s="1"/>
      <c r="DA175" s="1"/>
      <c r="DB175" s="1"/>
      <c r="DC175" s="1"/>
      <c r="DD175" s="1"/>
      <c r="DE175" s="1"/>
      <c r="DF175" s="1"/>
      <c r="DG175" s="1"/>
      <c r="DH175" s="1">
        <v>42060.25</v>
      </c>
      <c r="DI175" s="1"/>
      <c r="DJ175" s="1"/>
      <c r="DK175" s="1"/>
      <c r="DL175" s="1">
        <v>42096.25</v>
      </c>
      <c r="DM175" s="1"/>
      <c r="DN175" s="1"/>
      <c r="DO175" s="1"/>
      <c r="DP175" s="1"/>
      <c r="DQ175" s="1"/>
      <c r="DR175" s="1"/>
      <c r="DS175" s="1"/>
      <c r="DT175" s="1"/>
      <c r="DU175" s="1"/>
      <c r="DV175" s="1"/>
      <c r="DW175" s="1"/>
      <c r="DX175" s="1"/>
      <c r="DY175" s="1">
        <v>42104.25</v>
      </c>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row>
    <row r="176" spans="1:216" x14ac:dyDescent="0.3">
      <c r="A176" s="3" t="str">
        <f>HYPERLINK("https://hpr-rps.hres.ca/reg-content/summary-basis-decision-detailTwo.php?lang=en&amp;linkID=SBD00177", "Constella")</f>
        <v>Constella</v>
      </c>
      <c r="B176" s="1" t="s">
        <v>518</v>
      </c>
      <c r="C176" s="1" t="s">
        <v>513</v>
      </c>
      <c r="D176" s="1" t="s">
        <v>519</v>
      </c>
      <c r="E176" s="1">
        <v>41193.25</v>
      </c>
      <c r="F176" s="1"/>
      <c r="G176" s="1"/>
      <c r="H176" s="1">
        <v>41257.25</v>
      </c>
      <c r="I176" s="1"/>
      <c r="J176" s="1"/>
      <c r="K176" s="1"/>
      <c r="L176" s="1"/>
      <c r="M176" s="1"/>
      <c r="N176" s="1"/>
      <c r="O176" s="1"/>
      <c r="P176" s="1"/>
      <c r="Q176" s="1"/>
      <c r="R176" s="1"/>
      <c r="S176" s="1"/>
      <c r="T176" s="1"/>
      <c r="U176" s="1"/>
      <c r="V176" s="1"/>
      <c r="W176" s="1"/>
      <c r="X176" s="1"/>
      <c r="Y176" s="1"/>
      <c r="Z176" s="1"/>
      <c r="AA176" s="1"/>
      <c r="AB176" s="1"/>
      <c r="AC176" s="1"/>
      <c r="AD176" s="1"/>
      <c r="AE176" s="1"/>
      <c r="AF176" s="1">
        <v>41311.25</v>
      </c>
      <c r="AG176" s="1"/>
      <c r="AH176" s="1"/>
      <c r="AI176" s="1"/>
      <c r="AJ176" s="1"/>
      <c r="AK176" s="1"/>
      <c r="AL176" s="1"/>
      <c r="AM176" s="1"/>
      <c r="AN176" s="1"/>
      <c r="AO176" s="1"/>
      <c r="AP176" s="1"/>
      <c r="AQ176" s="1"/>
      <c r="AR176" s="1">
        <v>41604.25</v>
      </c>
      <c r="AS176" s="1"/>
      <c r="AT176" s="1"/>
      <c r="AU176" s="1"/>
      <c r="AV176" s="1">
        <v>41591.25</v>
      </c>
      <c r="AW176" s="1"/>
      <c r="AX176" s="1">
        <v>41437.25</v>
      </c>
      <c r="AY176" s="1"/>
      <c r="AZ176" s="1">
        <v>41604.25</v>
      </c>
      <c r="BA176" s="1"/>
      <c r="BB176" s="1"/>
      <c r="BC176" s="1"/>
      <c r="BD176" s="1"/>
      <c r="BE176" s="1"/>
      <c r="BF176" s="1"/>
      <c r="BG176" s="1"/>
      <c r="BH176" s="1"/>
      <c r="BI176" s="1"/>
      <c r="BJ176" s="1"/>
      <c r="BK176" s="1"/>
      <c r="BL176" s="1"/>
      <c r="BM176" s="1">
        <v>41610.25</v>
      </c>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row>
    <row r="177" spans="1:216" x14ac:dyDescent="0.3">
      <c r="A177" s="3" t="str">
        <f>HYPERLINK("https://hpr-rps.hres.ca/reg-content/summary-basis-decision-detailTwo.php?lang=en&amp;linkID=SBD00178", "Cosentyx")</f>
        <v>Cosentyx</v>
      </c>
      <c r="B177" s="1" t="s">
        <v>520</v>
      </c>
      <c r="C177" s="1" t="s">
        <v>87</v>
      </c>
      <c r="D177" s="1" t="s">
        <v>521</v>
      </c>
      <c r="E177" s="1">
        <v>41340.25</v>
      </c>
      <c r="F177" s="1">
        <v>41486.25</v>
      </c>
      <c r="G177" s="1"/>
      <c r="H177" s="1">
        <v>41625.25</v>
      </c>
      <c r="I177" s="1"/>
      <c r="J177" s="1"/>
      <c r="K177" s="1"/>
      <c r="L177" s="1"/>
      <c r="M177" s="1"/>
      <c r="N177" s="1"/>
      <c r="O177" s="1"/>
      <c r="P177" s="1"/>
      <c r="Q177" s="1"/>
      <c r="R177" s="1"/>
      <c r="S177" s="1"/>
      <c r="T177" s="1"/>
      <c r="U177" s="1"/>
      <c r="V177" s="1"/>
      <c r="W177" s="1"/>
      <c r="X177" s="1"/>
      <c r="Y177" s="1"/>
      <c r="Z177" s="1">
        <v>41687.25</v>
      </c>
      <c r="AA177" s="1"/>
      <c r="AB177" s="1"/>
      <c r="AC177" s="1">
        <v>41716.208333333343</v>
      </c>
      <c r="AD177" s="1"/>
      <c r="AE177" s="1"/>
      <c r="AF177" s="1">
        <v>41764.25</v>
      </c>
      <c r="AG177" s="1"/>
      <c r="AH177" s="1"/>
      <c r="AI177" s="1"/>
      <c r="AJ177" s="1"/>
      <c r="AK177" s="1"/>
      <c r="AL177" s="1"/>
      <c r="AM177" s="1"/>
      <c r="AN177" s="1"/>
      <c r="AO177" s="1">
        <v>42037.25</v>
      </c>
      <c r="AP177" s="1"/>
      <c r="AQ177" s="1"/>
      <c r="AR177" s="1">
        <v>42055.25</v>
      </c>
      <c r="AS177" s="1"/>
      <c r="AT177" s="1"/>
      <c r="AU177" s="1"/>
      <c r="AV177" s="1">
        <v>42062.25</v>
      </c>
      <c r="AW177" s="1"/>
      <c r="AX177" s="1"/>
      <c r="AY177" s="1"/>
      <c r="AZ177" s="1">
        <v>42062.25</v>
      </c>
      <c r="BA177" s="1"/>
      <c r="BB177" s="1"/>
      <c r="BC177" s="1"/>
      <c r="BD177" s="1"/>
      <c r="BE177" s="1"/>
      <c r="BF177" s="1"/>
      <c r="BG177" s="1"/>
      <c r="BH177" s="1"/>
      <c r="BI177" s="1"/>
      <c r="BJ177" s="1"/>
      <c r="BK177" s="1"/>
      <c r="BL177" s="1"/>
      <c r="BM177" s="1">
        <v>42062.25</v>
      </c>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row>
    <row r="178" spans="1:216" x14ac:dyDescent="0.3">
      <c r="A178" s="3" t="str">
        <f>HYPERLINK("https://hpr-rps.hres.ca/reg-content/summary-basis-decision-detailTwo.php?lang=en&amp;linkID=SBD00179", "Cyramza")</f>
        <v>Cyramza</v>
      </c>
      <c r="B178" s="1" t="s">
        <v>522</v>
      </c>
      <c r="C178" s="1" t="s">
        <v>140</v>
      </c>
      <c r="D178" s="1" t="s">
        <v>523</v>
      </c>
      <c r="E178" s="1">
        <v>41501.25</v>
      </c>
      <c r="F178" s="1"/>
      <c r="G178" s="1"/>
      <c r="H178" s="1">
        <v>41848.25</v>
      </c>
      <c r="I178" s="1"/>
      <c r="J178" s="1"/>
      <c r="K178" s="1"/>
      <c r="L178" s="1"/>
      <c r="M178" s="1"/>
      <c r="N178" s="1"/>
      <c r="O178" s="1"/>
      <c r="P178" s="1"/>
      <c r="Q178" s="1"/>
      <c r="R178" s="1"/>
      <c r="S178" s="1"/>
      <c r="T178" s="1"/>
      <c r="U178" s="1"/>
      <c r="V178" s="1"/>
      <c r="W178" s="1"/>
      <c r="X178" s="1"/>
      <c r="Y178" s="1"/>
      <c r="Z178" s="1"/>
      <c r="AA178" s="1"/>
      <c r="AB178" s="1"/>
      <c r="AC178" s="1"/>
      <c r="AD178" s="1"/>
      <c r="AE178" s="1"/>
      <c r="AF178" s="1">
        <v>41901.25</v>
      </c>
      <c r="AG178" s="1"/>
      <c r="AH178" s="1"/>
      <c r="AI178" s="1"/>
      <c r="AJ178" s="1"/>
      <c r="AK178" s="1"/>
      <c r="AL178" s="1"/>
      <c r="AM178" s="1"/>
      <c r="AN178" s="1"/>
      <c r="AO178" s="1"/>
      <c r="AP178" s="1"/>
      <c r="AQ178" s="1"/>
      <c r="AR178" s="1">
        <v>42200.25</v>
      </c>
      <c r="AS178" s="1">
        <v>42180.25</v>
      </c>
      <c r="AT178" s="1"/>
      <c r="AU178" s="1"/>
      <c r="AV178" s="1">
        <v>42200.25</v>
      </c>
      <c r="AW178" s="1"/>
      <c r="AX178" s="1">
        <v>42177.25</v>
      </c>
      <c r="AY178" s="1"/>
      <c r="AZ178" s="1">
        <v>42157.25</v>
      </c>
      <c r="BA178" s="1"/>
      <c r="BB178" s="1"/>
      <c r="BC178" s="1"/>
      <c r="BD178" s="1"/>
      <c r="BE178" s="1"/>
      <c r="BF178" s="1"/>
      <c r="BG178" s="1"/>
      <c r="BH178" s="1"/>
      <c r="BI178" s="1"/>
      <c r="BJ178" s="1"/>
      <c r="BK178" s="1"/>
      <c r="BL178" s="1"/>
      <c r="BM178" s="1">
        <v>42201.25</v>
      </c>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row>
    <row r="179" spans="1:216" x14ac:dyDescent="0.3">
      <c r="A179" s="3" t="str">
        <f>HYPERLINK("https://hpr-rps.hres.ca/reg-content/summary-basis-decision-detailTwo.php?lang=en&amp;linkID=SBD00180", "Daklinza")</f>
        <v>Daklinza</v>
      </c>
      <c r="B179" s="1" t="s">
        <v>524</v>
      </c>
      <c r="C179" s="1" t="s">
        <v>81</v>
      </c>
      <c r="D179" s="1" t="s">
        <v>525</v>
      </c>
      <c r="E179" s="1"/>
      <c r="F179" s="1"/>
      <c r="G179" s="1"/>
      <c r="H179" s="1">
        <v>41775.25</v>
      </c>
      <c r="I179" s="1"/>
      <c r="J179" s="1"/>
      <c r="K179" s="1"/>
      <c r="L179" s="1"/>
      <c r="M179" s="1"/>
      <c r="N179" s="1"/>
      <c r="O179" s="1"/>
      <c r="P179" s="1"/>
      <c r="Q179" s="1"/>
      <c r="R179" s="1"/>
      <c r="S179" s="1"/>
      <c r="T179" s="1"/>
      <c r="U179" s="1"/>
      <c r="V179" s="1"/>
      <c r="W179" s="1"/>
      <c r="X179" s="1"/>
      <c r="Y179" s="1"/>
      <c r="Z179" s="1"/>
      <c r="AA179" s="1"/>
      <c r="AB179" s="1"/>
      <c r="AC179" s="1"/>
      <c r="AD179" s="1"/>
      <c r="AE179" s="1"/>
      <c r="AF179" s="1">
        <v>41838.25</v>
      </c>
      <c r="AG179" s="1"/>
      <c r="AH179" s="1"/>
      <c r="AI179" s="1"/>
      <c r="AJ179" s="1"/>
      <c r="AK179" s="1"/>
      <c r="AL179" s="1"/>
      <c r="AM179" s="1"/>
      <c r="AN179" s="1"/>
      <c r="AO179" s="1"/>
      <c r="AP179" s="1"/>
      <c r="AQ179" s="1"/>
      <c r="AR179" s="1">
        <v>42222.25</v>
      </c>
      <c r="AS179" s="1">
        <v>42153.25</v>
      </c>
      <c r="AT179" s="1"/>
      <c r="AU179" s="1"/>
      <c r="AV179" s="1">
        <v>42185.25</v>
      </c>
      <c r="AW179" s="1"/>
      <c r="AX179" s="1"/>
      <c r="AY179" s="1"/>
      <c r="AZ179" s="1">
        <v>42223.25</v>
      </c>
      <c r="BA179" s="1"/>
      <c r="BB179" s="1"/>
      <c r="BC179" s="1"/>
      <c r="BD179" s="1"/>
      <c r="BE179" s="1"/>
      <c r="BF179" s="1"/>
      <c r="BG179" s="1"/>
      <c r="BH179" s="1"/>
      <c r="BI179" s="1"/>
      <c r="BJ179" s="1"/>
      <c r="BK179" s="1"/>
      <c r="BL179" s="1">
        <v>42200.25</v>
      </c>
      <c r="BM179" s="1">
        <v>42229.25</v>
      </c>
      <c r="BN179" s="1"/>
      <c r="BO179" s="1"/>
      <c r="BP179" s="1"/>
      <c r="BQ179" s="1"/>
      <c r="BR179" s="1"/>
      <c r="BS179" s="1"/>
      <c r="BT179" s="1"/>
      <c r="BU179" s="1"/>
      <c r="BV179" s="1"/>
      <c r="BW179" s="1"/>
      <c r="BX179" s="1"/>
      <c r="BY179" s="1">
        <v>42212.25</v>
      </c>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row>
    <row r="180" spans="1:216" x14ac:dyDescent="0.3">
      <c r="A180" s="3" t="str">
        <f>HYPERLINK("https://hpr-rps.hres.ca/reg-content/summary-basis-decision-detailTwo.php?lang=en&amp;linkID=SBD00181", "Diacomit")</f>
        <v>Diacomit</v>
      </c>
      <c r="B180" s="1" t="s">
        <v>526</v>
      </c>
      <c r="C180" s="1" t="s">
        <v>527</v>
      </c>
      <c r="D180" s="1" t="s">
        <v>528</v>
      </c>
      <c r="E180" s="1">
        <v>40078.25</v>
      </c>
      <c r="F180" s="1"/>
      <c r="G180" s="1"/>
      <c r="H180" s="1">
        <v>40459.25</v>
      </c>
      <c r="I180" s="1"/>
      <c r="J180" s="1"/>
      <c r="K180" s="1"/>
      <c r="L180" s="1"/>
      <c r="M180" s="1"/>
      <c r="N180" s="1"/>
      <c r="O180" s="1"/>
      <c r="P180" s="1"/>
      <c r="Q180" s="1"/>
      <c r="R180" s="1"/>
      <c r="S180" s="1"/>
      <c r="T180" s="1"/>
      <c r="U180" s="1"/>
      <c r="V180" s="1"/>
      <c r="W180" s="1"/>
      <c r="X180" s="1"/>
      <c r="Y180" s="1"/>
      <c r="Z180" s="1">
        <v>40520.25</v>
      </c>
      <c r="AA180" s="1"/>
      <c r="AB180" s="1"/>
      <c r="AC180" s="1">
        <v>40553.25</v>
      </c>
      <c r="AD180" s="1"/>
      <c r="AE180" s="1"/>
      <c r="AF180" s="1">
        <v>40564.25</v>
      </c>
      <c r="AG180" s="1"/>
      <c r="AH180" s="1"/>
      <c r="AI180" s="1"/>
      <c r="AJ180" s="1"/>
      <c r="AK180" s="1"/>
      <c r="AL180" s="1"/>
      <c r="AM180" s="1"/>
      <c r="AN180" s="1"/>
      <c r="AO180" s="1"/>
      <c r="AP180" s="1"/>
      <c r="AQ180" s="1"/>
      <c r="AR180" s="1">
        <v>40834.25</v>
      </c>
      <c r="AS180" s="1">
        <v>40834.25</v>
      </c>
      <c r="AT180" s="1"/>
      <c r="AU180" s="1"/>
      <c r="AV180" s="1">
        <v>40834.25</v>
      </c>
      <c r="AW180" s="1"/>
      <c r="AX180" s="1"/>
      <c r="AY180" s="1"/>
      <c r="AZ180" s="1">
        <v>40834.25</v>
      </c>
      <c r="BA180" s="1"/>
      <c r="BB180" s="1"/>
      <c r="BC180" s="1"/>
      <c r="BD180" s="1"/>
      <c r="BE180" s="1"/>
      <c r="BF180" s="1"/>
      <c r="BG180" s="1"/>
      <c r="BH180" s="1"/>
      <c r="BI180" s="1"/>
      <c r="BJ180" s="1"/>
      <c r="BK180" s="1"/>
      <c r="BL180" s="1"/>
      <c r="BM180" s="1"/>
      <c r="BN180" s="1"/>
      <c r="BO180" s="1"/>
      <c r="BP180" s="1">
        <v>40834.25</v>
      </c>
      <c r="BQ180" s="1"/>
      <c r="BR180" s="1"/>
      <c r="BS180" s="1"/>
      <c r="BT180" s="1"/>
      <c r="BU180" s="1"/>
      <c r="BV180" s="1"/>
      <c r="BW180" s="1"/>
      <c r="BX180" s="1"/>
      <c r="BY180" s="1">
        <v>40926.25</v>
      </c>
      <c r="BZ180" s="1"/>
      <c r="CA180" s="1"/>
      <c r="CB180" s="1"/>
      <c r="CC180" s="1"/>
      <c r="CD180" s="1"/>
      <c r="CE180" s="1"/>
      <c r="CF180" s="1"/>
      <c r="CG180" s="1"/>
      <c r="CH180" s="1"/>
      <c r="CI180" s="1"/>
      <c r="CJ180" s="1"/>
      <c r="CK180" s="1"/>
      <c r="CL180" s="1"/>
      <c r="CM180" s="1"/>
      <c r="CN180" s="1"/>
      <c r="CO180" s="1"/>
      <c r="CP180" s="1"/>
      <c r="CQ180" s="1"/>
      <c r="CR180" s="1">
        <v>40970.25</v>
      </c>
      <c r="CS180" s="1"/>
      <c r="CT180" s="1"/>
      <c r="CU180" s="1"/>
      <c r="CV180" s="1"/>
      <c r="CW180" s="1"/>
      <c r="CX180" s="1"/>
      <c r="CY180" s="1"/>
      <c r="CZ180" s="1"/>
      <c r="DA180" s="1"/>
      <c r="DB180" s="1"/>
      <c r="DC180" s="1"/>
      <c r="DD180" s="1">
        <v>41256.25</v>
      </c>
      <c r="DE180" s="1">
        <v>41187.25</v>
      </c>
      <c r="DF180" s="1"/>
      <c r="DG180" s="1"/>
      <c r="DH180" s="1">
        <v>41257.25</v>
      </c>
      <c r="DI180" s="1"/>
      <c r="DJ180" s="1"/>
      <c r="DK180" s="1"/>
      <c r="DL180" s="1">
        <v>41260.25</v>
      </c>
      <c r="DM180" s="1"/>
      <c r="DN180" s="1"/>
      <c r="DO180" s="1"/>
      <c r="DP180" s="1"/>
      <c r="DQ180" s="1"/>
      <c r="DR180" s="1"/>
      <c r="DS180" s="1"/>
      <c r="DT180" s="1"/>
      <c r="DU180" s="1"/>
      <c r="DV180" s="1"/>
      <c r="DW180" s="1"/>
      <c r="DX180" s="1"/>
      <c r="DY180" s="1">
        <v>41264.25</v>
      </c>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row>
    <row r="181" spans="1:216" x14ac:dyDescent="0.3">
      <c r="A181" s="3" t="str">
        <f>HYPERLINK("https://hpr-rps.hres.ca/reg-content/summary-basis-decision-detailTwo.php?lang=en&amp;linkID=SBD00182", "Duavive")</f>
        <v>Duavive</v>
      </c>
      <c r="B181" s="1" t="s">
        <v>529</v>
      </c>
      <c r="C181" s="1" t="s">
        <v>143</v>
      </c>
      <c r="D181" s="1" t="s">
        <v>530</v>
      </c>
      <c r="E181" s="1"/>
      <c r="F181" s="1"/>
      <c r="G181" s="1"/>
      <c r="H181" s="1">
        <v>41247.25</v>
      </c>
      <c r="I181" s="1"/>
      <c r="J181" s="1"/>
      <c r="K181" s="1"/>
      <c r="L181" s="1"/>
      <c r="M181" s="1"/>
      <c r="N181" s="1"/>
      <c r="O181" s="1"/>
      <c r="P181" s="1"/>
      <c r="Q181" s="1"/>
      <c r="R181" s="1"/>
      <c r="S181" s="1"/>
      <c r="T181" s="1"/>
      <c r="U181" s="1"/>
      <c r="V181" s="1"/>
      <c r="W181" s="1"/>
      <c r="X181" s="1"/>
      <c r="Y181" s="1"/>
      <c r="Z181" s="1">
        <v>41302.25</v>
      </c>
      <c r="AA181" s="1"/>
      <c r="AB181" s="1"/>
      <c r="AC181" s="1">
        <v>41327.25</v>
      </c>
      <c r="AD181" s="1"/>
      <c r="AE181" s="1"/>
      <c r="AF181" s="1">
        <v>41368.25</v>
      </c>
      <c r="AG181" s="1"/>
      <c r="AH181" s="1"/>
      <c r="AI181" s="1"/>
      <c r="AJ181" s="1"/>
      <c r="AK181" s="1"/>
      <c r="AL181" s="1"/>
      <c r="AM181" s="1"/>
      <c r="AN181" s="1"/>
      <c r="AO181" s="1"/>
      <c r="AP181" s="1"/>
      <c r="AQ181" s="1"/>
      <c r="AR181" s="1"/>
      <c r="AS181" s="1">
        <v>41617.25</v>
      </c>
      <c r="AT181" s="1"/>
      <c r="AU181" s="1"/>
      <c r="AV181" s="1">
        <v>41662.25</v>
      </c>
      <c r="AW181" s="1"/>
      <c r="AX181" s="1"/>
      <c r="AY181" s="1"/>
      <c r="AZ181" s="1">
        <v>41666.25</v>
      </c>
      <c r="BA181" s="1"/>
      <c r="BB181" s="1"/>
      <c r="BC181" s="1"/>
      <c r="BD181" s="1"/>
      <c r="BE181" s="1"/>
      <c r="BF181" s="1"/>
      <c r="BG181" s="1"/>
      <c r="BH181" s="1"/>
      <c r="BI181" s="1"/>
      <c r="BJ181" s="1"/>
      <c r="BK181" s="1"/>
      <c r="BL181" s="1"/>
      <c r="BM181" s="1"/>
      <c r="BN181" s="1"/>
      <c r="BO181" s="1"/>
      <c r="BP181" s="1"/>
      <c r="BQ181" s="1"/>
      <c r="BR181" s="1"/>
      <c r="BS181" s="1"/>
      <c r="BT181" s="1">
        <v>41668.25</v>
      </c>
      <c r="BU181" s="1"/>
      <c r="BV181" s="1"/>
      <c r="BW181" s="1"/>
      <c r="BX181" s="1"/>
      <c r="BY181" s="1">
        <v>41732.25</v>
      </c>
      <c r="BZ181" s="1"/>
      <c r="CA181" s="1"/>
      <c r="CB181" s="1"/>
      <c r="CC181" s="1"/>
      <c r="CD181" s="1"/>
      <c r="CE181" s="1"/>
      <c r="CF181" s="1"/>
      <c r="CG181" s="1"/>
      <c r="CH181" s="1"/>
      <c r="CI181" s="1"/>
      <c r="CJ181" s="1"/>
      <c r="CK181" s="1"/>
      <c r="CL181" s="1"/>
      <c r="CM181" s="1"/>
      <c r="CN181" s="1"/>
      <c r="CO181" s="1"/>
      <c r="CP181" s="1"/>
      <c r="CQ181" s="1"/>
      <c r="CR181" s="1">
        <v>41785.25</v>
      </c>
      <c r="CS181" s="1"/>
      <c r="CT181" s="1"/>
      <c r="CU181" s="1"/>
      <c r="CV181" s="1"/>
      <c r="CW181" s="1"/>
      <c r="CX181" s="1"/>
      <c r="CY181" s="1"/>
      <c r="CZ181" s="1"/>
      <c r="DA181" s="1"/>
      <c r="DB181" s="1"/>
      <c r="DC181" s="1"/>
      <c r="DD181" s="1">
        <v>41932.25</v>
      </c>
      <c r="DE181" s="1"/>
      <c r="DF181" s="1"/>
      <c r="DG181" s="1"/>
      <c r="DH181" s="1">
        <v>41835.25</v>
      </c>
      <c r="DI181" s="1"/>
      <c r="DJ181" s="1"/>
      <c r="DK181" s="1"/>
      <c r="DL181" s="1">
        <v>41929.25</v>
      </c>
      <c r="DM181" s="1"/>
      <c r="DN181" s="1"/>
      <c r="DO181" s="1"/>
      <c r="DP181" s="1"/>
      <c r="DQ181" s="1"/>
      <c r="DR181" s="1"/>
      <c r="DS181" s="1"/>
      <c r="DT181" s="1"/>
      <c r="DU181" s="1"/>
      <c r="DV181" s="1"/>
      <c r="DW181" s="1"/>
      <c r="DX181" s="1"/>
      <c r="DY181" s="1">
        <v>41935.25</v>
      </c>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row>
    <row r="182" spans="1:216" x14ac:dyDescent="0.3">
      <c r="A182" s="3" t="str">
        <f>HYPERLINK("https://hpr-rps.hres.ca/reg-content/summary-basis-decision-detailTwo.php?lang=en&amp;linkID=SBD00185", "Egrifta")</f>
        <v>Egrifta</v>
      </c>
      <c r="B182" s="1" t="s">
        <v>531</v>
      </c>
      <c r="C182" s="1" t="s">
        <v>532</v>
      </c>
      <c r="D182" s="1" t="s">
        <v>533</v>
      </c>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v>40722.25</v>
      </c>
      <c r="AG182" s="1"/>
      <c r="AH182" s="1"/>
      <c r="AI182" s="1"/>
      <c r="AJ182" s="1"/>
      <c r="AK182" s="1"/>
      <c r="AL182" s="1"/>
      <c r="AM182" s="1"/>
      <c r="AN182" s="1"/>
      <c r="AO182" s="1"/>
      <c r="AP182" s="1"/>
      <c r="AQ182" s="1"/>
      <c r="AR182" s="1">
        <v>40969.25</v>
      </c>
      <c r="AS182" s="1"/>
      <c r="AT182" s="1"/>
      <c r="AU182" s="1"/>
      <c r="AV182" s="1">
        <v>41064.25</v>
      </c>
      <c r="AW182" s="1"/>
      <c r="AX182" s="1"/>
      <c r="AY182" s="1"/>
      <c r="AZ182" s="1">
        <v>41066.25</v>
      </c>
      <c r="BA182" s="1"/>
      <c r="BB182" s="1"/>
      <c r="BC182" s="1"/>
      <c r="BD182" s="1"/>
      <c r="BE182" s="1"/>
      <c r="BF182" s="1"/>
      <c r="BG182" s="1"/>
      <c r="BH182" s="1"/>
      <c r="BI182" s="1"/>
      <c r="BJ182" s="1"/>
      <c r="BK182" s="1"/>
      <c r="BL182" s="1"/>
      <c r="BM182" s="1"/>
      <c r="BN182" s="1"/>
      <c r="BO182" s="1"/>
      <c r="BP182" s="1"/>
      <c r="BQ182" s="1"/>
      <c r="BR182" s="1"/>
      <c r="BS182" s="1"/>
      <c r="BT182" s="1">
        <v>41067.25</v>
      </c>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v>41186.25</v>
      </c>
      <c r="CS182" s="1"/>
      <c r="CT182" s="1"/>
      <c r="CU182" s="1"/>
      <c r="CV182" s="1"/>
      <c r="CW182" s="1"/>
      <c r="CX182" s="1"/>
      <c r="CY182" s="1"/>
      <c r="CZ182" s="1"/>
      <c r="DA182" s="1"/>
      <c r="DB182" s="1"/>
      <c r="DC182" s="1"/>
      <c r="DD182" s="1">
        <v>41730.25</v>
      </c>
      <c r="DE182" s="1"/>
      <c r="DF182" s="1"/>
      <c r="DG182" s="1"/>
      <c r="DH182" s="1">
        <v>41334.25</v>
      </c>
      <c r="DI182" s="1"/>
      <c r="DJ182" s="1"/>
      <c r="DK182" s="1"/>
      <c r="DL182" s="1">
        <v>41757.25</v>
      </c>
      <c r="DM182" s="1"/>
      <c r="DN182" s="1"/>
      <c r="DO182" s="1"/>
      <c r="DP182" s="1"/>
      <c r="DQ182" s="1"/>
      <c r="DR182" s="1"/>
      <c r="DS182" s="1"/>
      <c r="DT182" s="1">
        <v>40988.208333333343</v>
      </c>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row>
    <row r="183" spans="1:216" x14ac:dyDescent="0.3">
      <c r="A183" s="3" t="str">
        <f>HYPERLINK("https://hpr-rps.hres.ca/reg-content/summary-basis-decision-detailTwo.php?lang=en&amp;linkID=SBD00183", "Durezol")</f>
        <v>Durezol</v>
      </c>
      <c r="B183" s="1" t="s">
        <v>534</v>
      </c>
      <c r="C183" s="1" t="s">
        <v>535</v>
      </c>
      <c r="D183" s="1" t="s">
        <v>536</v>
      </c>
      <c r="E183" s="1"/>
      <c r="F183" s="1"/>
      <c r="G183" s="1"/>
      <c r="H183" s="1">
        <v>41233.25</v>
      </c>
      <c r="I183" s="1"/>
      <c r="J183" s="1"/>
      <c r="K183" s="1"/>
      <c r="L183" s="1"/>
      <c r="M183" s="1"/>
      <c r="N183" s="1"/>
      <c r="O183" s="1"/>
      <c r="P183" s="1"/>
      <c r="Q183" s="1"/>
      <c r="R183" s="1"/>
      <c r="S183" s="1"/>
      <c r="T183" s="1"/>
      <c r="U183" s="1"/>
      <c r="V183" s="1"/>
      <c r="W183" s="1"/>
      <c r="X183" s="1"/>
      <c r="Y183" s="1"/>
      <c r="Z183" s="1"/>
      <c r="AA183" s="1"/>
      <c r="AB183" s="1"/>
      <c r="AC183" s="1"/>
      <c r="AD183" s="1"/>
      <c r="AE183" s="1"/>
      <c r="AF183" s="1">
        <v>41282.25</v>
      </c>
      <c r="AG183" s="1"/>
      <c r="AH183" s="1"/>
      <c r="AI183" s="1"/>
      <c r="AJ183" s="1"/>
      <c r="AK183" s="1"/>
      <c r="AL183" s="1"/>
      <c r="AM183" s="1"/>
      <c r="AN183" s="1"/>
      <c r="AO183" s="1"/>
      <c r="AP183" s="1"/>
      <c r="AQ183" s="1"/>
      <c r="AR183" s="1">
        <v>41572.25</v>
      </c>
      <c r="AS183" s="1"/>
      <c r="AT183" s="1"/>
      <c r="AU183" s="1"/>
      <c r="AV183" s="1">
        <v>41537.25</v>
      </c>
      <c r="AW183" s="1"/>
      <c r="AX183" s="1"/>
      <c r="AY183" s="1"/>
      <c r="AZ183" s="1">
        <v>41568.25</v>
      </c>
      <c r="BA183" s="1"/>
      <c r="BB183" s="1"/>
      <c r="BC183" s="1"/>
      <c r="BD183" s="1"/>
      <c r="BE183" s="1"/>
      <c r="BF183" s="1"/>
      <c r="BG183" s="1"/>
      <c r="BH183" s="1"/>
      <c r="BI183" s="1"/>
      <c r="BJ183" s="1"/>
      <c r="BK183" s="1"/>
      <c r="BL183" s="1"/>
      <c r="BM183" s="1">
        <v>41582.25</v>
      </c>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row>
    <row r="184" spans="1:216" x14ac:dyDescent="0.3">
      <c r="A184" s="3" t="str">
        <f>HYPERLINK("https://hpr-rps.hres.ca/reg-content/summary-basis-decision-detailTwo.php?lang=en&amp;linkID=SBD00184", "Dymista")</f>
        <v>Dymista</v>
      </c>
      <c r="B184" s="1" t="s">
        <v>537</v>
      </c>
      <c r="C184" s="1" t="s">
        <v>538</v>
      </c>
      <c r="D184" s="1" t="s">
        <v>539</v>
      </c>
      <c r="E184" s="1">
        <v>41354.208333333343</v>
      </c>
      <c r="F184" s="1"/>
      <c r="G184" s="1"/>
      <c r="H184" s="1">
        <v>41582.25</v>
      </c>
      <c r="I184" s="1"/>
      <c r="J184" s="1"/>
      <c r="K184" s="1"/>
      <c r="L184" s="1"/>
      <c r="M184" s="1"/>
      <c r="N184" s="1"/>
      <c r="O184" s="1"/>
      <c r="P184" s="1"/>
      <c r="Q184" s="1"/>
      <c r="R184" s="1"/>
      <c r="S184" s="1"/>
      <c r="T184" s="1"/>
      <c r="U184" s="1"/>
      <c r="V184" s="1"/>
      <c r="W184" s="1"/>
      <c r="X184" s="1"/>
      <c r="Y184" s="1"/>
      <c r="Z184" s="1"/>
      <c r="AA184" s="1"/>
      <c r="AB184" s="1"/>
      <c r="AC184" s="1"/>
      <c r="AD184" s="1"/>
      <c r="AE184" s="1"/>
      <c r="AF184" s="1">
        <v>41635.25</v>
      </c>
      <c r="AG184" s="1"/>
      <c r="AH184" s="1"/>
      <c r="AI184" s="1"/>
      <c r="AJ184" s="1"/>
      <c r="AK184" s="1"/>
      <c r="AL184" s="1"/>
      <c r="AM184" s="1"/>
      <c r="AN184" s="1"/>
      <c r="AO184" s="1"/>
      <c r="AP184" s="1"/>
      <c r="AQ184" s="1"/>
      <c r="AR184" s="1">
        <v>41920.25</v>
      </c>
      <c r="AS184" s="1"/>
      <c r="AT184" s="1"/>
      <c r="AU184" s="1"/>
      <c r="AV184" s="1">
        <v>41922.25</v>
      </c>
      <c r="AW184" s="1"/>
      <c r="AX184" s="1"/>
      <c r="AY184" s="1"/>
      <c r="AZ184" s="1">
        <v>41927.25</v>
      </c>
      <c r="BA184" s="1"/>
      <c r="BB184" s="1"/>
      <c r="BC184" s="1"/>
      <c r="BD184" s="1"/>
      <c r="BE184" s="1"/>
      <c r="BF184" s="1"/>
      <c r="BG184" s="1"/>
      <c r="BH184" s="1"/>
      <c r="BI184" s="1"/>
      <c r="BJ184" s="1"/>
      <c r="BK184" s="1"/>
      <c r="BL184" s="1"/>
      <c r="BM184" s="1">
        <v>41935.25</v>
      </c>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row>
    <row r="185" spans="1:216" x14ac:dyDescent="0.3">
      <c r="A185" s="3" t="str">
        <f>HYPERLINK("https://hpr-rps.hres.ca/reg-content/summary-basis-decision-detailTwo.php?lang=en&amp;linkID=SBD00186", "Elelyso")</f>
        <v>Elelyso</v>
      </c>
      <c r="B185" s="1" t="s">
        <v>540</v>
      </c>
      <c r="C185" s="1" t="s">
        <v>143</v>
      </c>
      <c r="D185" s="1" t="s">
        <v>541</v>
      </c>
      <c r="E185" s="1">
        <v>40323.25</v>
      </c>
      <c r="F185" s="1"/>
      <c r="G185" s="1"/>
      <c r="H185" s="1">
        <v>41443.25</v>
      </c>
      <c r="I185" s="1"/>
      <c r="J185" s="1"/>
      <c r="K185" s="1"/>
      <c r="L185" s="1"/>
      <c r="M185" s="1"/>
      <c r="N185" s="1"/>
      <c r="O185" s="1"/>
      <c r="P185" s="1"/>
      <c r="Q185" s="1"/>
      <c r="R185" s="1"/>
      <c r="S185" s="1"/>
      <c r="T185" s="1"/>
      <c r="U185" s="1"/>
      <c r="V185" s="1"/>
      <c r="W185" s="1"/>
      <c r="X185" s="1"/>
      <c r="Y185" s="1"/>
      <c r="Z185" s="1"/>
      <c r="AA185" s="1"/>
      <c r="AB185" s="1"/>
      <c r="AC185" s="1"/>
      <c r="AD185" s="1"/>
      <c r="AE185" s="1"/>
      <c r="AF185" s="1">
        <v>41488.25</v>
      </c>
      <c r="AG185" s="1"/>
      <c r="AH185" s="1"/>
      <c r="AI185" s="1"/>
      <c r="AJ185" s="1"/>
      <c r="AK185" s="1"/>
      <c r="AL185" s="1"/>
      <c r="AM185" s="1"/>
      <c r="AN185" s="1"/>
      <c r="AO185" s="1">
        <v>41662.25</v>
      </c>
      <c r="AP185" s="1"/>
      <c r="AQ185" s="1"/>
      <c r="AR185" s="1">
        <v>41782.25</v>
      </c>
      <c r="AS185" s="1"/>
      <c r="AT185" s="1"/>
      <c r="AU185" s="1"/>
      <c r="AV185" s="1">
        <v>41787.25</v>
      </c>
      <c r="AW185" s="1"/>
      <c r="AX185" s="1"/>
      <c r="AY185" s="1"/>
      <c r="AZ185" s="1">
        <v>41785.25</v>
      </c>
      <c r="BA185" s="1"/>
      <c r="BB185" s="1"/>
      <c r="BC185" s="1"/>
      <c r="BD185" s="1"/>
      <c r="BE185" s="1"/>
      <c r="BF185" s="1"/>
      <c r="BG185" s="1"/>
      <c r="BH185" s="1"/>
      <c r="BI185" s="1"/>
      <c r="BJ185" s="1"/>
      <c r="BK185" s="1"/>
      <c r="BL185" s="1"/>
      <c r="BM185" s="1">
        <v>41788.25</v>
      </c>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row>
    <row r="186" spans="1:216" x14ac:dyDescent="0.3">
      <c r="A186" s="3" t="str">
        <f>HYPERLINK("https://hpr-rps.hres.ca/reg-content/summary-basis-decision-detailTwo.php?lang=en&amp;linkID=SBD00187", "Sivextro")</f>
        <v>Sivextro</v>
      </c>
      <c r="B186" s="1" t="s">
        <v>542</v>
      </c>
      <c r="C186" s="1" t="s">
        <v>543</v>
      </c>
      <c r="D186" s="1" t="s">
        <v>544</v>
      </c>
      <c r="E186" s="1">
        <v>41570.25</v>
      </c>
      <c r="F186" s="1"/>
      <c r="G186" s="1"/>
      <c r="H186" s="1"/>
      <c r="I186" s="1"/>
      <c r="J186" s="1"/>
      <c r="K186" s="1"/>
      <c r="L186" s="1"/>
      <c r="M186" s="1"/>
      <c r="N186" s="1">
        <v>41690.25</v>
      </c>
      <c r="O186" s="1"/>
      <c r="P186" s="1"/>
      <c r="Q186" s="1"/>
      <c r="R186" s="1"/>
      <c r="S186" s="1"/>
      <c r="T186" s="1">
        <v>41723.208333333343</v>
      </c>
      <c r="U186" s="1"/>
      <c r="V186" s="1">
        <v>41730.25</v>
      </c>
      <c r="W186" s="1"/>
      <c r="X186" s="1"/>
      <c r="Y186" s="1"/>
      <c r="Z186" s="1"/>
      <c r="AA186" s="1"/>
      <c r="AB186" s="1"/>
      <c r="AC186" s="1"/>
      <c r="AD186" s="1"/>
      <c r="AE186" s="1"/>
      <c r="AF186" s="1">
        <v>41780.25</v>
      </c>
      <c r="AG186" s="1"/>
      <c r="AH186" s="1"/>
      <c r="AI186" s="1"/>
      <c r="AJ186" s="1"/>
      <c r="AK186" s="1"/>
      <c r="AL186" s="1"/>
      <c r="AM186" s="1"/>
      <c r="AN186" s="1"/>
      <c r="AO186" s="1"/>
      <c r="AP186" s="1"/>
      <c r="AQ186" s="1"/>
      <c r="AR186" s="1">
        <v>42074.208333333343</v>
      </c>
      <c r="AS186" s="1">
        <v>42020.25</v>
      </c>
      <c r="AT186" s="1"/>
      <c r="AU186" s="1"/>
      <c r="AV186" s="1">
        <v>42067.25</v>
      </c>
      <c r="AW186" s="1"/>
      <c r="AX186" s="1"/>
      <c r="AY186" s="1"/>
      <c r="AZ186" s="1">
        <v>42079.208333333343</v>
      </c>
      <c r="BA186" s="1"/>
      <c r="BB186" s="1"/>
      <c r="BC186" s="1"/>
      <c r="BD186" s="1"/>
      <c r="BE186" s="1"/>
      <c r="BF186" s="1"/>
      <c r="BG186" s="1"/>
      <c r="BH186" s="1"/>
      <c r="BI186" s="1"/>
      <c r="BJ186" s="1"/>
      <c r="BK186" s="1"/>
      <c r="BL186" s="1"/>
      <c r="BM186" s="1">
        <v>42080.208333333343</v>
      </c>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row>
    <row r="187" spans="1:216" x14ac:dyDescent="0.3">
      <c r="A187" s="3" t="str">
        <f>HYPERLINK("https://hpr-rps.hres.ca/reg-content/summary-basis-decision-detailTwo.php?lang=en&amp;linkID=SBD00188", "Sovaldi")</f>
        <v>Sovaldi</v>
      </c>
      <c r="B187" s="1" t="s">
        <v>545</v>
      </c>
      <c r="C187" s="1" t="s">
        <v>546</v>
      </c>
      <c r="D187" s="1" t="s">
        <v>547</v>
      </c>
      <c r="E187" s="1">
        <v>41353.208333333343</v>
      </c>
      <c r="F187" s="1"/>
      <c r="G187" s="1"/>
      <c r="H187" s="1"/>
      <c r="I187" s="1"/>
      <c r="J187" s="1"/>
      <c r="K187" s="1"/>
      <c r="L187" s="1"/>
      <c r="M187" s="1"/>
      <c r="N187" s="1">
        <v>41379.25</v>
      </c>
      <c r="O187" s="1"/>
      <c r="P187" s="1"/>
      <c r="Q187" s="1"/>
      <c r="R187" s="1"/>
      <c r="S187" s="1">
        <v>41411.25</v>
      </c>
      <c r="T187" s="1"/>
      <c r="U187" s="1"/>
      <c r="V187" s="1"/>
      <c r="W187" s="1"/>
      <c r="X187" s="1"/>
      <c r="Y187" s="1"/>
      <c r="Z187" s="1"/>
      <c r="AA187" s="1"/>
      <c r="AB187" s="1"/>
      <c r="AC187" s="1"/>
      <c r="AD187" s="1"/>
      <c r="AE187" s="1"/>
      <c r="AF187" s="1">
        <v>41439.25</v>
      </c>
      <c r="AG187" s="1"/>
      <c r="AH187" s="1"/>
      <c r="AI187" s="1"/>
      <c r="AJ187" s="1"/>
      <c r="AK187" s="1"/>
      <c r="AL187" s="1"/>
      <c r="AM187" s="1"/>
      <c r="AN187" s="1"/>
      <c r="AO187" s="1"/>
      <c r="AP187" s="1"/>
      <c r="AQ187" s="1"/>
      <c r="AR187" s="1">
        <v>41620.25</v>
      </c>
      <c r="AS187" s="1">
        <v>41591.25</v>
      </c>
      <c r="AT187" s="1"/>
      <c r="AU187" s="1"/>
      <c r="AV187" s="1">
        <v>41605.25</v>
      </c>
      <c r="AW187" s="1"/>
      <c r="AX187" s="1"/>
      <c r="AY187" s="1"/>
      <c r="AZ187" s="1">
        <v>41620.25</v>
      </c>
      <c r="BA187" s="1"/>
      <c r="BB187" s="1"/>
      <c r="BC187" s="1"/>
      <c r="BD187" s="1"/>
      <c r="BE187" s="1"/>
      <c r="BF187" s="1"/>
      <c r="BG187" s="1"/>
      <c r="BH187" s="1"/>
      <c r="BI187" s="1"/>
      <c r="BJ187" s="1"/>
      <c r="BK187" s="1"/>
      <c r="BL187" s="1"/>
      <c r="BM187" s="1">
        <v>41621.25</v>
      </c>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row>
    <row r="188" spans="1:216" x14ac:dyDescent="0.3">
      <c r="A188" s="3" t="str">
        <f>HYPERLINK("https://hpr-rps.hres.ca/reg-content/summary-basis-decision-detailTwo.php?lang=en&amp;linkID=SBD00189", "Stivarga")</f>
        <v>Stivarga</v>
      </c>
      <c r="B188" s="1" t="s">
        <v>548</v>
      </c>
      <c r="C188" s="1" t="s">
        <v>338</v>
      </c>
      <c r="D188" s="1" t="s">
        <v>549</v>
      </c>
      <c r="E188" s="1">
        <v>41073.25</v>
      </c>
      <c r="F188" s="1"/>
      <c r="G188" s="1"/>
      <c r="H188" s="1"/>
      <c r="I188" s="1"/>
      <c r="J188" s="1"/>
      <c r="K188" s="1"/>
      <c r="L188" s="1"/>
      <c r="M188" s="1"/>
      <c r="N188" s="1">
        <v>41089.25</v>
      </c>
      <c r="O188" s="1"/>
      <c r="P188" s="1"/>
      <c r="Q188" s="1"/>
      <c r="R188" s="1"/>
      <c r="S188" s="1">
        <v>41128.25</v>
      </c>
      <c r="T188" s="1"/>
      <c r="U188" s="1"/>
      <c r="V188" s="1">
        <v>41136.25</v>
      </c>
      <c r="W188" s="1"/>
      <c r="X188" s="1"/>
      <c r="Y188" s="1"/>
      <c r="Z188" s="1"/>
      <c r="AA188" s="1"/>
      <c r="AB188" s="1"/>
      <c r="AC188" s="1"/>
      <c r="AD188" s="1"/>
      <c r="AE188" s="1"/>
      <c r="AF188" s="1">
        <v>41165.25</v>
      </c>
      <c r="AG188" s="1"/>
      <c r="AH188" s="1"/>
      <c r="AI188" s="1"/>
      <c r="AJ188" s="1"/>
      <c r="AK188" s="1"/>
      <c r="AL188" s="1"/>
      <c r="AM188" s="1"/>
      <c r="AN188" s="1"/>
      <c r="AO188" s="1"/>
      <c r="AP188" s="1"/>
      <c r="AQ188" s="1"/>
      <c r="AR188" s="1">
        <v>41339.25</v>
      </c>
      <c r="AS188" s="1">
        <v>41242.25</v>
      </c>
      <c r="AT188" s="1"/>
      <c r="AU188" s="1"/>
      <c r="AV188" s="1">
        <v>41339.25</v>
      </c>
      <c r="AW188" s="1"/>
      <c r="AX188" s="1">
        <v>41270.25</v>
      </c>
      <c r="AY188" s="1"/>
      <c r="AZ188" s="1">
        <v>41341.25</v>
      </c>
      <c r="BA188" s="1"/>
      <c r="BB188" s="1"/>
      <c r="BC188" s="1"/>
      <c r="BD188" s="1"/>
      <c r="BE188" s="1"/>
      <c r="BF188" s="1"/>
      <c r="BG188" s="1"/>
      <c r="BH188" s="1"/>
      <c r="BI188" s="1"/>
      <c r="BJ188" s="1"/>
      <c r="BK188" s="1"/>
      <c r="BL188" s="1"/>
      <c r="BM188" s="1">
        <v>41344.208333333343</v>
      </c>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row>
    <row r="189" spans="1:216" x14ac:dyDescent="0.3">
      <c r="A189" s="3" t="str">
        <f>HYPERLINK("https://hpr-rps.hres.ca/reg-content/summary-basis-decision-detailTwo.php?lang=en&amp;linkID=SBD00190", "Strensiq")</f>
        <v>Strensiq</v>
      </c>
      <c r="B189" s="1" t="s">
        <v>550</v>
      </c>
      <c r="C189" s="1" t="s">
        <v>551</v>
      </c>
      <c r="D189" s="1" t="s">
        <v>552</v>
      </c>
      <c r="E189" s="1">
        <v>41815.25</v>
      </c>
      <c r="F189" s="1"/>
      <c r="G189" s="1"/>
      <c r="H189" s="1"/>
      <c r="I189" s="1"/>
      <c r="J189" s="1"/>
      <c r="K189" s="1"/>
      <c r="L189" s="1"/>
      <c r="M189" s="1"/>
      <c r="N189" s="1">
        <v>41859.25</v>
      </c>
      <c r="O189" s="1">
        <v>41890.25</v>
      </c>
      <c r="P189" s="1"/>
      <c r="Q189" s="1"/>
      <c r="R189" s="1"/>
      <c r="S189" s="1"/>
      <c r="T189" s="1"/>
      <c r="U189" s="1"/>
      <c r="V189" s="1">
        <v>41942.208333333343</v>
      </c>
      <c r="W189" s="1"/>
      <c r="X189" s="1"/>
      <c r="Y189" s="1"/>
      <c r="Z189" s="1"/>
      <c r="AA189" s="1"/>
      <c r="AB189" s="1"/>
      <c r="AC189" s="1"/>
      <c r="AD189" s="1"/>
      <c r="AE189" s="1"/>
      <c r="AF189" s="1">
        <v>41985.25</v>
      </c>
      <c r="AG189" s="1"/>
      <c r="AH189" s="1"/>
      <c r="AI189" s="1"/>
      <c r="AJ189" s="1"/>
      <c r="AK189" s="1"/>
      <c r="AL189" s="1"/>
      <c r="AM189" s="1"/>
      <c r="AN189" s="1"/>
      <c r="AO189" s="1"/>
      <c r="AP189" s="1"/>
      <c r="AQ189" s="1"/>
      <c r="AR189" s="1">
        <v>42179.25</v>
      </c>
      <c r="AS189" s="1"/>
      <c r="AT189" s="1"/>
      <c r="AU189" s="1"/>
      <c r="AV189" s="1">
        <v>42184.25</v>
      </c>
      <c r="AW189" s="1"/>
      <c r="AX189" s="1"/>
      <c r="AY189" s="1"/>
      <c r="AZ189" s="1">
        <v>42230.25</v>
      </c>
      <c r="BA189" s="1"/>
      <c r="BB189" s="1"/>
      <c r="BC189" s="1"/>
      <c r="BD189" s="1"/>
      <c r="BE189" s="1"/>
      <c r="BF189" s="1"/>
      <c r="BG189" s="1"/>
      <c r="BH189" s="1"/>
      <c r="BI189" s="1"/>
      <c r="BJ189" s="1"/>
      <c r="BK189" s="1"/>
      <c r="BL189" s="1">
        <v>42185.25</v>
      </c>
      <c r="BM189" s="1">
        <v>42230.25</v>
      </c>
      <c r="BN189" s="1"/>
      <c r="BO189" s="1"/>
      <c r="BP189" s="1"/>
      <c r="BQ189" s="1"/>
      <c r="BR189" s="1"/>
      <c r="BS189" s="1"/>
      <c r="BT189" s="1"/>
      <c r="BU189" s="1"/>
      <c r="BV189" s="1"/>
      <c r="BW189" s="1"/>
      <c r="BX189" s="1"/>
      <c r="BY189" s="1">
        <v>42195.25</v>
      </c>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row>
    <row r="190" spans="1:216" x14ac:dyDescent="0.3">
      <c r="A190" s="3" t="str">
        <f>HYPERLINK("https://hpr-rps.hres.ca/reg-content/summary-basis-decision-detailTwo.php?lang=en&amp;linkID=SBD00191", "Stribild")</f>
        <v>Stribild</v>
      </c>
      <c r="B190" s="1" t="s">
        <v>553</v>
      </c>
      <c r="C190" s="1" t="s">
        <v>546</v>
      </c>
      <c r="D190" s="1" t="s">
        <v>554</v>
      </c>
      <c r="E190" s="1">
        <v>40815.25</v>
      </c>
      <c r="F190" s="1"/>
      <c r="G190" s="1"/>
      <c r="H190" s="1"/>
      <c r="I190" s="1"/>
      <c r="J190" s="1"/>
      <c r="K190" s="1"/>
      <c r="L190" s="1"/>
      <c r="M190" s="1"/>
      <c r="N190" s="1">
        <v>40855.25</v>
      </c>
      <c r="O190" s="1"/>
      <c r="P190" s="1"/>
      <c r="Q190" s="1"/>
      <c r="R190" s="1"/>
      <c r="S190" s="1"/>
      <c r="T190" s="1">
        <v>40885.25</v>
      </c>
      <c r="U190" s="1"/>
      <c r="V190" s="1">
        <v>40896.25</v>
      </c>
      <c r="W190" s="1"/>
      <c r="X190" s="1"/>
      <c r="Y190" s="1"/>
      <c r="Z190" s="1"/>
      <c r="AA190" s="1"/>
      <c r="AB190" s="1"/>
      <c r="AC190" s="1"/>
      <c r="AD190" s="1"/>
      <c r="AE190" s="1"/>
      <c r="AF190" s="1">
        <v>40941.25</v>
      </c>
      <c r="AG190" s="1"/>
      <c r="AH190" s="1"/>
      <c r="AI190" s="1"/>
      <c r="AJ190" s="1"/>
      <c r="AK190" s="1"/>
      <c r="AL190" s="1"/>
      <c r="AM190" s="1"/>
      <c r="AN190" s="1"/>
      <c r="AO190" s="1"/>
      <c r="AP190" s="1"/>
      <c r="AQ190" s="1"/>
      <c r="AR190" s="1">
        <v>41229.25</v>
      </c>
      <c r="AS190" s="1"/>
      <c r="AT190" s="1"/>
      <c r="AU190" s="1"/>
      <c r="AV190" s="1">
        <v>41228.25</v>
      </c>
      <c r="AW190" s="1"/>
      <c r="AX190" s="1"/>
      <c r="AY190" s="1"/>
      <c r="AZ190" s="1">
        <v>41229.25</v>
      </c>
      <c r="BA190" s="1"/>
      <c r="BB190" s="1"/>
      <c r="BC190" s="1"/>
      <c r="BD190" s="1"/>
      <c r="BE190" s="1"/>
      <c r="BF190" s="1"/>
      <c r="BG190" s="1"/>
      <c r="BH190" s="1"/>
      <c r="BI190" s="1"/>
      <c r="BJ190" s="1"/>
      <c r="BK190" s="1"/>
      <c r="BL190" s="1"/>
      <c r="BM190" s="1">
        <v>41239.25</v>
      </c>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row>
    <row r="191" spans="1:216" x14ac:dyDescent="0.3">
      <c r="A191" s="3" t="str">
        <f>HYPERLINK("https://hpr-rps.hres.ca/reg-content/summary-basis-decision-detailTwo.php?lang=en&amp;linkID=SBD00192", "Striverdi Respimat")</f>
        <v>Striverdi Respimat</v>
      </c>
      <c r="B191" s="1" t="s">
        <v>555</v>
      </c>
      <c r="C191" s="1" t="s">
        <v>556</v>
      </c>
      <c r="D191" s="1" t="s">
        <v>557</v>
      </c>
      <c r="E191" s="1"/>
      <c r="F191" s="1"/>
      <c r="G191" s="1"/>
      <c r="H191" s="1">
        <v>41088.25</v>
      </c>
      <c r="I191" s="1"/>
      <c r="J191" s="1"/>
      <c r="K191" s="1"/>
      <c r="L191" s="1"/>
      <c r="M191" s="1"/>
      <c r="N191" s="1"/>
      <c r="O191" s="1"/>
      <c r="P191" s="1"/>
      <c r="Q191" s="1"/>
      <c r="R191" s="1"/>
      <c r="S191" s="1"/>
      <c r="T191" s="1"/>
      <c r="U191" s="1"/>
      <c r="V191" s="1"/>
      <c r="W191" s="1"/>
      <c r="X191" s="1"/>
      <c r="Y191" s="1"/>
      <c r="Z191" s="1"/>
      <c r="AA191" s="1"/>
      <c r="AB191" s="1"/>
      <c r="AC191" s="1"/>
      <c r="AD191" s="1"/>
      <c r="AE191" s="1"/>
      <c r="AF191" s="1">
        <v>41135.25</v>
      </c>
      <c r="AG191" s="1"/>
      <c r="AH191" s="1"/>
      <c r="AI191" s="1"/>
      <c r="AJ191" s="1"/>
      <c r="AK191" s="1"/>
      <c r="AL191" s="1"/>
      <c r="AM191" s="1"/>
      <c r="AN191" s="1"/>
      <c r="AO191" s="1"/>
      <c r="AP191" s="1"/>
      <c r="AQ191" s="1"/>
      <c r="AR191" s="1">
        <v>41436.25</v>
      </c>
      <c r="AS191" s="1"/>
      <c r="AT191" s="1"/>
      <c r="AU191" s="1"/>
      <c r="AV191" s="1">
        <v>41436.25</v>
      </c>
      <c r="AW191" s="1"/>
      <c r="AX191" s="1"/>
      <c r="AY191" s="1"/>
      <c r="AZ191" s="1">
        <v>41436.25</v>
      </c>
      <c r="BA191" s="1"/>
      <c r="BB191" s="1"/>
      <c r="BC191" s="1"/>
      <c r="BD191" s="1"/>
      <c r="BE191" s="1"/>
      <c r="BF191" s="1"/>
      <c r="BG191" s="1"/>
      <c r="BH191" s="1"/>
      <c r="BI191" s="1"/>
      <c r="BJ191" s="1"/>
      <c r="BK191" s="1"/>
      <c r="BL191" s="1"/>
      <c r="BM191" s="1">
        <v>41436.25</v>
      </c>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row>
    <row r="192" spans="1:216" x14ac:dyDescent="0.3">
      <c r="A192" s="3" t="str">
        <f>HYPERLINK("https://hpr-rps.hres.ca/reg-content/summary-basis-decision-detailTwo.php?lang=en&amp;linkID=SBD00193", "Sylvant")</f>
        <v>Sylvant</v>
      </c>
      <c r="B192" s="1" t="s">
        <v>558</v>
      </c>
      <c r="C192" s="1" t="s">
        <v>201</v>
      </c>
      <c r="D192" s="1" t="s">
        <v>559</v>
      </c>
      <c r="E192" s="1">
        <v>41655.25</v>
      </c>
      <c r="F192" s="1"/>
      <c r="G192" s="1"/>
      <c r="H192" s="1"/>
      <c r="I192" s="1"/>
      <c r="J192" s="1"/>
      <c r="K192" s="1"/>
      <c r="L192" s="1"/>
      <c r="M192" s="1"/>
      <c r="N192" s="1">
        <v>41689.25</v>
      </c>
      <c r="O192" s="1"/>
      <c r="P192" s="1"/>
      <c r="Q192" s="1"/>
      <c r="R192" s="1"/>
      <c r="S192" s="1">
        <v>41726.208333333343</v>
      </c>
      <c r="T192" s="1"/>
      <c r="U192" s="1"/>
      <c r="V192" s="1">
        <v>41757.25</v>
      </c>
      <c r="W192" s="1"/>
      <c r="X192" s="1"/>
      <c r="Y192" s="1"/>
      <c r="Z192" s="1"/>
      <c r="AA192" s="1"/>
      <c r="AB192" s="1"/>
      <c r="AC192" s="1"/>
      <c r="AD192" s="1"/>
      <c r="AE192" s="1"/>
      <c r="AF192" s="1">
        <v>41796.25</v>
      </c>
      <c r="AG192" s="1"/>
      <c r="AH192" s="1"/>
      <c r="AI192" s="1"/>
      <c r="AJ192" s="1"/>
      <c r="AK192" s="1"/>
      <c r="AL192" s="1"/>
      <c r="AM192" s="1"/>
      <c r="AN192" s="1"/>
      <c r="AO192" s="1"/>
      <c r="AP192" s="1"/>
      <c r="AQ192" s="1"/>
      <c r="AR192" s="1">
        <v>41970.25</v>
      </c>
      <c r="AS192" s="1"/>
      <c r="AT192" s="1"/>
      <c r="AU192" s="1"/>
      <c r="AV192" s="1">
        <v>41976.25</v>
      </c>
      <c r="AW192" s="1"/>
      <c r="AX192" s="1"/>
      <c r="AY192" s="1"/>
      <c r="AZ192" s="1">
        <v>41971.25</v>
      </c>
      <c r="BA192" s="1"/>
      <c r="BB192" s="1"/>
      <c r="BC192" s="1"/>
      <c r="BD192" s="1"/>
      <c r="BE192" s="1"/>
      <c r="BF192" s="1"/>
      <c r="BG192" s="1"/>
      <c r="BH192" s="1"/>
      <c r="BI192" s="1"/>
      <c r="BJ192" s="1"/>
      <c r="BK192" s="1"/>
      <c r="BL192" s="1"/>
      <c r="BM192" s="1">
        <v>41976.25</v>
      </c>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row>
    <row r="193" spans="1:216" x14ac:dyDescent="0.3">
      <c r="A193" s="3" t="str">
        <f>HYPERLINK("https://hpr-rps.hres.ca/reg-content/summary-basis-decision-detailTwo.php?lang=en&amp;linkID=SBD00194", "Tafinlar")</f>
        <v>Tafinlar</v>
      </c>
      <c r="B193" s="1" t="s">
        <v>560</v>
      </c>
      <c r="C193" s="1" t="s">
        <v>96</v>
      </c>
      <c r="D193" s="1" t="s">
        <v>561</v>
      </c>
      <c r="E193" s="1">
        <v>41046.25</v>
      </c>
      <c r="F193" s="1"/>
      <c r="G193" s="1"/>
      <c r="H193" s="1">
        <v>41121.25</v>
      </c>
      <c r="I193" s="1"/>
      <c r="J193" s="1"/>
      <c r="K193" s="1"/>
      <c r="L193" s="1"/>
      <c r="M193" s="1"/>
      <c r="N193" s="1"/>
      <c r="O193" s="1"/>
      <c r="P193" s="1"/>
      <c r="Q193" s="1"/>
      <c r="R193" s="1"/>
      <c r="S193" s="1"/>
      <c r="T193" s="1"/>
      <c r="U193" s="1"/>
      <c r="V193" s="1"/>
      <c r="W193" s="1"/>
      <c r="X193" s="1"/>
      <c r="Y193" s="1"/>
      <c r="Z193" s="1"/>
      <c r="AA193" s="1"/>
      <c r="AB193" s="1"/>
      <c r="AC193" s="1"/>
      <c r="AD193" s="1"/>
      <c r="AE193" s="1"/>
      <c r="AF193" s="1">
        <v>41172.25</v>
      </c>
      <c r="AG193" s="1"/>
      <c r="AH193" s="1"/>
      <c r="AI193" s="1"/>
      <c r="AJ193" s="1"/>
      <c r="AK193" s="1"/>
      <c r="AL193" s="1"/>
      <c r="AM193" s="1"/>
      <c r="AN193" s="1"/>
      <c r="AO193" s="1"/>
      <c r="AP193" s="1"/>
      <c r="AQ193" s="1"/>
      <c r="AR193" s="1">
        <v>41470.25</v>
      </c>
      <c r="AS193" s="1">
        <v>41337.25</v>
      </c>
      <c r="AT193" s="1"/>
      <c r="AU193" s="1"/>
      <c r="AV193" s="1">
        <v>41443.25</v>
      </c>
      <c r="AW193" s="1"/>
      <c r="AX193" s="1"/>
      <c r="AY193" s="1"/>
      <c r="AZ193" s="1">
        <v>41467.25</v>
      </c>
      <c r="BA193" s="1"/>
      <c r="BB193" s="1"/>
      <c r="BC193" s="1"/>
      <c r="BD193" s="1"/>
      <c r="BE193" s="1"/>
      <c r="BF193" s="1"/>
      <c r="BG193" s="1"/>
      <c r="BH193" s="1"/>
      <c r="BI193" s="1"/>
      <c r="BJ193" s="1"/>
      <c r="BK193" s="1"/>
      <c r="BL193" s="1"/>
      <c r="BM193" s="1">
        <v>41471.25</v>
      </c>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row>
    <row r="194" spans="1:216" x14ac:dyDescent="0.3">
      <c r="A194" s="3" t="str">
        <f>HYPERLINK("https://hpr-rps.hres.ca/reg-content/summary-basis-decision-detailTwo.php?lang=en&amp;linkID=SBD00195", "Tecfidera")</f>
        <v>Tecfidera</v>
      </c>
      <c r="B194" s="1" t="s">
        <v>562</v>
      </c>
      <c r="C194" s="1" t="s">
        <v>506</v>
      </c>
      <c r="D194" s="1" t="s">
        <v>563</v>
      </c>
      <c r="E194" s="1">
        <v>40941.25</v>
      </c>
      <c r="F194" s="1"/>
      <c r="G194" s="1"/>
      <c r="H194" s="1">
        <v>41015.25</v>
      </c>
      <c r="I194" s="1"/>
      <c r="J194" s="1"/>
      <c r="K194" s="1"/>
      <c r="L194" s="1"/>
      <c r="M194" s="1"/>
      <c r="N194" s="1"/>
      <c r="O194" s="1"/>
      <c r="P194" s="1"/>
      <c r="Q194" s="1"/>
      <c r="R194" s="1"/>
      <c r="S194" s="1"/>
      <c r="T194" s="1"/>
      <c r="U194" s="1"/>
      <c r="V194" s="1"/>
      <c r="W194" s="1"/>
      <c r="X194" s="1"/>
      <c r="Y194" s="1"/>
      <c r="Z194" s="1"/>
      <c r="AA194" s="1"/>
      <c r="AB194" s="1"/>
      <c r="AC194" s="1"/>
      <c r="AD194" s="1"/>
      <c r="AE194" s="1"/>
      <c r="AF194" s="1">
        <v>41015.25</v>
      </c>
      <c r="AG194" s="1"/>
      <c r="AH194" s="1"/>
      <c r="AI194" s="1"/>
      <c r="AJ194" s="1"/>
      <c r="AK194" s="1"/>
      <c r="AL194" s="1"/>
      <c r="AM194" s="1"/>
      <c r="AN194" s="1"/>
      <c r="AO194" s="1"/>
      <c r="AP194" s="1"/>
      <c r="AQ194" s="1"/>
      <c r="AR194" s="1">
        <v>41348.208333333343</v>
      </c>
      <c r="AS194" s="1">
        <v>41284.25</v>
      </c>
      <c r="AT194" s="1"/>
      <c r="AU194" s="1"/>
      <c r="AV194" s="1">
        <v>41352.208333333343</v>
      </c>
      <c r="AW194" s="1"/>
      <c r="AX194" s="1"/>
      <c r="AY194" s="1"/>
      <c r="AZ194" s="1">
        <v>41365.25</v>
      </c>
      <c r="BA194" s="1"/>
      <c r="BB194" s="1"/>
      <c r="BC194" s="1"/>
      <c r="BD194" s="1"/>
      <c r="BE194" s="1"/>
      <c r="BF194" s="1"/>
      <c r="BG194" s="1"/>
      <c r="BH194" s="1"/>
      <c r="BI194" s="1"/>
      <c r="BJ194" s="1"/>
      <c r="BK194" s="1"/>
      <c r="BL194" s="1"/>
      <c r="BM194" s="1">
        <v>41367.25</v>
      </c>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row>
    <row r="195" spans="1:216" x14ac:dyDescent="0.3">
      <c r="A195" s="3" t="str">
        <f>HYPERLINK("https://hpr-rps.hres.ca/reg-content/summary-basis-decision-detailTwo.php?lang=en&amp;linkID=SBD00196", "Tivicay")</f>
        <v>Tivicay</v>
      </c>
      <c r="B195" s="1" t="s">
        <v>564</v>
      </c>
      <c r="C195" s="1" t="s">
        <v>565</v>
      </c>
      <c r="D195" s="1" t="s">
        <v>566</v>
      </c>
      <c r="E195" s="1">
        <v>41200.25</v>
      </c>
      <c r="F195" s="1"/>
      <c r="G195" s="1"/>
      <c r="H195" s="1"/>
      <c r="I195" s="1"/>
      <c r="J195" s="1"/>
      <c r="K195" s="1"/>
      <c r="L195" s="1"/>
      <c r="M195" s="1"/>
      <c r="N195" s="1">
        <v>41201.25</v>
      </c>
      <c r="O195" s="1"/>
      <c r="P195" s="1"/>
      <c r="Q195" s="1"/>
      <c r="R195" s="1"/>
      <c r="S195" s="1"/>
      <c r="T195" s="1">
        <v>41234.25</v>
      </c>
      <c r="U195" s="1"/>
      <c r="V195" s="1">
        <v>41260.25</v>
      </c>
      <c r="W195" s="1"/>
      <c r="X195" s="1"/>
      <c r="Y195" s="1"/>
      <c r="Z195" s="1"/>
      <c r="AA195" s="1"/>
      <c r="AB195" s="1"/>
      <c r="AC195" s="1"/>
      <c r="AD195" s="1"/>
      <c r="AE195" s="1"/>
      <c r="AF195" s="1">
        <v>41310.25</v>
      </c>
      <c r="AG195" s="1"/>
      <c r="AH195" s="1"/>
      <c r="AI195" s="1"/>
      <c r="AJ195" s="1"/>
      <c r="AK195" s="1"/>
      <c r="AL195" s="1"/>
      <c r="AM195" s="1"/>
      <c r="AN195" s="1"/>
      <c r="AO195" s="1"/>
      <c r="AP195" s="1"/>
      <c r="AQ195" s="1"/>
      <c r="AR195" s="1">
        <v>41568.25</v>
      </c>
      <c r="AS195" s="1"/>
      <c r="AT195" s="1"/>
      <c r="AU195" s="1"/>
      <c r="AV195" s="1">
        <v>41558.25</v>
      </c>
      <c r="AW195" s="1"/>
      <c r="AX195" s="1">
        <v>41449.25</v>
      </c>
      <c r="AY195" s="1"/>
      <c r="AZ195" s="1">
        <v>41571.25</v>
      </c>
      <c r="BA195" s="1"/>
      <c r="BB195" s="1"/>
      <c r="BC195" s="1"/>
      <c r="BD195" s="1"/>
      <c r="BE195" s="1"/>
      <c r="BF195" s="1"/>
      <c r="BG195" s="1"/>
      <c r="BH195" s="1"/>
      <c r="BI195" s="1"/>
      <c r="BJ195" s="1"/>
      <c r="BK195" s="1"/>
      <c r="BL195" s="1"/>
      <c r="BM195" s="1">
        <v>41578.208333333343</v>
      </c>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row>
    <row r="196" spans="1:216" x14ac:dyDescent="0.3">
      <c r="A196" s="3" t="str">
        <f>HYPERLINK("https://hpr-rps.hres.ca/reg-content/summary-basis-decision-detailTwo.php?lang=en&amp;linkID=SBD00197", "Trintellix")</f>
        <v>Trintellix</v>
      </c>
      <c r="B196" s="1" t="s">
        <v>567</v>
      </c>
      <c r="C196" s="1" t="s">
        <v>459</v>
      </c>
      <c r="D196" s="1" t="s">
        <v>568</v>
      </c>
      <c r="E196" s="1">
        <v>41038.25</v>
      </c>
      <c r="F196" s="1"/>
      <c r="G196" s="1"/>
      <c r="H196" s="1">
        <v>41180.25</v>
      </c>
      <c r="I196" s="1"/>
      <c r="J196" s="1"/>
      <c r="K196" s="1"/>
      <c r="L196" s="1"/>
      <c r="M196" s="1"/>
      <c r="N196" s="1"/>
      <c r="O196" s="1"/>
      <c r="P196" s="1"/>
      <c r="Q196" s="1"/>
      <c r="R196" s="1"/>
      <c r="S196" s="1"/>
      <c r="T196" s="1"/>
      <c r="U196" s="1"/>
      <c r="V196" s="1"/>
      <c r="W196" s="1"/>
      <c r="X196" s="1"/>
      <c r="Y196" s="1"/>
      <c r="Z196" s="1"/>
      <c r="AA196" s="1"/>
      <c r="AB196" s="1"/>
      <c r="AC196" s="1"/>
      <c r="AD196" s="1"/>
      <c r="AE196" s="1"/>
      <c r="AF196" s="1">
        <v>41229.25</v>
      </c>
      <c r="AG196" s="1"/>
      <c r="AH196" s="1"/>
      <c r="AI196" s="1"/>
      <c r="AJ196" s="1"/>
      <c r="AK196" s="1"/>
      <c r="AL196" s="1"/>
      <c r="AM196" s="1"/>
      <c r="AN196" s="1"/>
      <c r="AO196" s="1"/>
      <c r="AP196" s="1"/>
      <c r="AQ196" s="1"/>
      <c r="AR196" s="1"/>
      <c r="AS196" s="1">
        <v>41407.25</v>
      </c>
      <c r="AT196" s="1"/>
      <c r="AU196" s="1"/>
      <c r="AV196" s="1">
        <v>41480.25</v>
      </c>
      <c r="AW196" s="1"/>
      <c r="AX196" s="1"/>
      <c r="AY196" s="1"/>
      <c r="AZ196" s="1">
        <v>41498.25</v>
      </c>
      <c r="BA196" s="1"/>
      <c r="BB196" s="1"/>
      <c r="BC196" s="1"/>
      <c r="BD196" s="1"/>
      <c r="BE196" s="1"/>
      <c r="BF196" s="1"/>
      <c r="BG196" s="1"/>
      <c r="BH196" s="1"/>
      <c r="BI196" s="1"/>
      <c r="BJ196" s="1"/>
      <c r="BK196" s="1"/>
      <c r="BL196" s="1"/>
      <c r="BM196" s="1"/>
      <c r="BN196" s="1"/>
      <c r="BO196" s="1"/>
      <c r="BP196" s="1">
        <v>41499.25</v>
      </c>
      <c r="BQ196" s="1"/>
      <c r="BR196" s="1"/>
      <c r="BS196" s="1"/>
      <c r="BT196" s="1"/>
      <c r="BU196" s="1"/>
      <c r="BV196" s="1"/>
      <c r="BW196" s="1"/>
      <c r="BX196" s="1"/>
      <c r="BY196" s="1">
        <v>41586.25</v>
      </c>
      <c r="BZ196" s="1"/>
      <c r="CA196" s="1"/>
      <c r="CB196" s="1"/>
      <c r="CC196" s="1"/>
      <c r="CD196" s="1"/>
      <c r="CE196" s="1"/>
      <c r="CF196" s="1"/>
      <c r="CG196" s="1"/>
      <c r="CH196" s="1"/>
      <c r="CI196" s="1"/>
      <c r="CJ196" s="1"/>
      <c r="CK196" s="1"/>
      <c r="CL196" s="1"/>
      <c r="CM196" s="1"/>
      <c r="CN196" s="1"/>
      <c r="CO196" s="1"/>
      <c r="CP196" s="1"/>
      <c r="CQ196" s="1"/>
      <c r="CR196" s="1">
        <v>41635.25</v>
      </c>
      <c r="CS196" s="1"/>
      <c r="CT196" s="1"/>
      <c r="CU196" s="1"/>
      <c r="CV196" s="1"/>
      <c r="CW196" s="1"/>
      <c r="CX196" s="1"/>
      <c r="CY196" s="1"/>
      <c r="CZ196" s="1"/>
      <c r="DA196" s="1"/>
      <c r="DB196" s="1"/>
      <c r="DC196" s="1"/>
      <c r="DD196" s="1">
        <v>41931.25</v>
      </c>
      <c r="DE196" s="1"/>
      <c r="DF196" s="1"/>
      <c r="DG196" s="1"/>
      <c r="DH196" s="1">
        <v>41901.25</v>
      </c>
      <c r="DI196" s="1"/>
      <c r="DJ196" s="1"/>
      <c r="DK196" s="1"/>
      <c r="DL196" s="1">
        <v>41934.25</v>
      </c>
      <c r="DM196" s="1"/>
      <c r="DN196" s="1"/>
      <c r="DO196" s="1"/>
      <c r="DP196" s="1"/>
      <c r="DQ196" s="1"/>
      <c r="DR196" s="1"/>
      <c r="DS196" s="1"/>
      <c r="DT196" s="1"/>
      <c r="DU196" s="1"/>
      <c r="DV196" s="1"/>
      <c r="DW196" s="1"/>
      <c r="DX196" s="1"/>
      <c r="DY196" s="1">
        <v>41934.25</v>
      </c>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row>
    <row r="197" spans="1:216" x14ac:dyDescent="0.3">
      <c r="A197" s="3" t="str">
        <f>HYPERLINK("https://hpr-rps.hres.ca/reg-content/summary-basis-decision-detailTwo.php?lang=en&amp;linkID=SBD00198", "Tudorza Genuair")</f>
        <v>Tudorza Genuair</v>
      </c>
      <c r="B197" s="1" t="s">
        <v>569</v>
      </c>
      <c r="C197" s="1" t="s">
        <v>570</v>
      </c>
      <c r="D197" s="1" t="s">
        <v>571</v>
      </c>
      <c r="E197" s="1">
        <v>41038.25</v>
      </c>
      <c r="F197" s="1"/>
      <c r="G197" s="1"/>
      <c r="H197" s="1">
        <v>41121.25</v>
      </c>
      <c r="I197" s="1"/>
      <c r="J197" s="1"/>
      <c r="K197" s="1"/>
      <c r="L197" s="1"/>
      <c r="M197" s="1"/>
      <c r="N197" s="1"/>
      <c r="O197" s="1"/>
      <c r="P197" s="1"/>
      <c r="Q197" s="1"/>
      <c r="R197" s="1"/>
      <c r="S197" s="1"/>
      <c r="T197" s="1"/>
      <c r="U197" s="1"/>
      <c r="V197" s="1"/>
      <c r="W197" s="1"/>
      <c r="X197" s="1"/>
      <c r="Y197" s="1"/>
      <c r="Z197" s="1"/>
      <c r="AA197" s="1"/>
      <c r="AB197" s="1"/>
      <c r="AC197" s="1"/>
      <c r="AD197" s="1"/>
      <c r="AE197" s="1"/>
      <c r="AF197" s="1">
        <v>41184.25</v>
      </c>
      <c r="AG197" s="1"/>
      <c r="AH197" s="1"/>
      <c r="AI197" s="1"/>
      <c r="AJ197" s="1"/>
      <c r="AK197" s="1"/>
      <c r="AL197" s="1"/>
      <c r="AM197" s="1"/>
      <c r="AN197" s="1"/>
      <c r="AO197" s="1"/>
      <c r="AP197" s="1"/>
      <c r="AQ197" s="1"/>
      <c r="AR197" s="1">
        <v>41472.25</v>
      </c>
      <c r="AS197" s="1"/>
      <c r="AT197" s="1"/>
      <c r="AU197" s="1"/>
      <c r="AV197" s="1">
        <v>41478.25</v>
      </c>
      <c r="AW197" s="1"/>
      <c r="AX197" s="1"/>
      <c r="AY197" s="1"/>
      <c r="AZ197" s="1">
        <v>41479.25</v>
      </c>
      <c r="BA197" s="1"/>
      <c r="BB197" s="1"/>
      <c r="BC197" s="1"/>
      <c r="BD197" s="1"/>
      <c r="BE197" s="1"/>
      <c r="BF197" s="1"/>
      <c r="BG197" s="1"/>
      <c r="BH197" s="1"/>
      <c r="BI197" s="1"/>
      <c r="BJ197" s="1"/>
      <c r="BK197" s="1"/>
      <c r="BL197" s="1"/>
      <c r="BM197" s="1">
        <v>41484.25</v>
      </c>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row>
    <row r="198" spans="1:216" x14ac:dyDescent="0.3">
      <c r="A198" s="3" t="str">
        <f>HYPERLINK("https://hpr-rps.hres.ca/reg-content/summary-basis-decision-detailTwo.php?lang=en&amp;linkID=SBD00199", "Vimizim")</f>
        <v>Vimizim</v>
      </c>
      <c r="B198" s="1" t="s">
        <v>572</v>
      </c>
      <c r="C198" s="1" t="s">
        <v>573</v>
      </c>
      <c r="D198" s="1" t="s">
        <v>574</v>
      </c>
      <c r="E198" s="1">
        <v>41479.25</v>
      </c>
      <c r="F198" s="1"/>
      <c r="G198" s="1"/>
      <c r="H198" s="1"/>
      <c r="I198" s="1"/>
      <c r="J198" s="1"/>
      <c r="K198" s="1"/>
      <c r="L198" s="1"/>
      <c r="M198" s="1"/>
      <c r="N198" s="1">
        <v>41550.25</v>
      </c>
      <c r="O198" s="1"/>
      <c r="P198" s="1"/>
      <c r="Q198" s="1"/>
      <c r="R198" s="1"/>
      <c r="S198" s="1">
        <v>41579.208333333343</v>
      </c>
      <c r="T198" s="1"/>
      <c r="U198" s="1"/>
      <c r="V198" s="1">
        <v>41604.25</v>
      </c>
      <c r="W198" s="1"/>
      <c r="X198" s="1"/>
      <c r="Y198" s="1"/>
      <c r="Z198" s="1"/>
      <c r="AA198" s="1"/>
      <c r="AB198" s="1"/>
      <c r="AC198" s="1"/>
      <c r="AD198" s="1"/>
      <c r="AE198" s="1"/>
      <c r="AF198" s="1">
        <v>41642.25</v>
      </c>
      <c r="AG198" s="1"/>
      <c r="AH198" s="1"/>
      <c r="AI198" s="1"/>
      <c r="AJ198" s="1"/>
      <c r="AK198" s="1"/>
      <c r="AL198" s="1"/>
      <c r="AM198" s="1"/>
      <c r="AN198" s="1"/>
      <c r="AO198" s="1">
        <v>41806.25</v>
      </c>
      <c r="AP198" s="1"/>
      <c r="AQ198" s="1"/>
      <c r="AR198" s="1">
        <v>41815.25</v>
      </c>
      <c r="AS198" s="1"/>
      <c r="AT198" s="1"/>
      <c r="AU198" s="1"/>
      <c r="AV198" s="1">
        <v>41817.25</v>
      </c>
      <c r="AW198" s="1"/>
      <c r="AX198" s="1"/>
      <c r="AY198" s="1"/>
      <c r="AZ198" s="1">
        <v>41818.25</v>
      </c>
      <c r="BA198" s="1"/>
      <c r="BB198" s="1"/>
      <c r="BC198" s="1"/>
      <c r="BD198" s="1"/>
      <c r="BE198" s="1"/>
      <c r="BF198" s="1"/>
      <c r="BG198" s="1"/>
      <c r="BH198" s="1"/>
      <c r="BI198" s="1"/>
      <c r="BJ198" s="1"/>
      <c r="BK198" s="1"/>
      <c r="BL198" s="1"/>
      <c r="BM198" s="1">
        <v>41822.25</v>
      </c>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row>
    <row r="199" spans="1:216" x14ac:dyDescent="0.3">
      <c r="A199" s="3" t="str">
        <f>HYPERLINK("https://hpr-rps.hres.ca/reg-content/summary-basis-decision-detailTwo.php?lang=en&amp;linkID=SBD00200", "Xeljanz")</f>
        <v>Xeljanz</v>
      </c>
      <c r="B199" s="1" t="s">
        <v>575</v>
      </c>
      <c r="C199" s="1" t="s">
        <v>143</v>
      </c>
      <c r="D199" s="1" t="s">
        <v>576</v>
      </c>
      <c r="E199" s="1">
        <v>40633.25</v>
      </c>
      <c r="F199" s="1"/>
      <c r="G199" s="1"/>
      <c r="H199" s="1">
        <v>41002.25</v>
      </c>
      <c r="I199" s="1"/>
      <c r="J199" s="1"/>
      <c r="K199" s="1"/>
      <c r="L199" s="1"/>
      <c r="M199" s="1"/>
      <c r="N199" s="1"/>
      <c r="O199" s="1"/>
      <c r="P199" s="1"/>
      <c r="Q199" s="1"/>
      <c r="R199" s="1"/>
      <c r="S199" s="1"/>
      <c r="T199" s="1"/>
      <c r="U199" s="1"/>
      <c r="V199" s="1"/>
      <c r="W199" s="1"/>
      <c r="X199" s="1"/>
      <c r="Y199" s="1"/>
      <c r="Z199" s="1">
        <v>41054.25</v>
      </c>
      <c r="AA199" s="1"/>
      <c r="AB199" s="1"/>
      <c r="AC199" s="1">
        <v>41066.25</v>
      </c>
      <c r="AD199" s="1"/>
      <c r="AE199" s="1"/>
      <c r="AF199" s="1">
        <v>41088.25</v>
      </c>
      <c r="AG199" s="1"/>
      <c r="AH199" s="1"/>
      <c r="AI199" s="1"/>
      <c r="AJ199" s="1"/>
      <c r="AK199" s="1"/>
      <c r="AL199" s="1"/>
      <c r="AM199" s="1"/>
      <c r="AN199" s="1"/>
      <c r="AO199" s="1"/>
      <c r="AP199" s="1"/>
      <c r="AQ199" s="1"/>
      <c r="AR199" s="1"/>
      <c r="AS199" s="1">
        <v>41319.25</v>
      </c>
      <c r="AT199" s="1"/>
      <c r="AU199" s="1"/>
      <c r="AV199" s="1">
        <v>41379.25</v>
      </c>
      <c r="AW199" s="1"/>
      <c r="AX199" s="1">
        <v>41327.25</v>
      </c>
      <c r="AY199" s="1"/>
      <c r="AZ199" s="1">
        <v>41457.25</v>
      </c>
      <c r="BA199" s="1"/>
      <c r="BB199" s="1"/>
      <c r="BC199" s="1"/>
      <c r="BD199" s="1"/>
      <c r="BE199" s="1"/>
      <c r="BF199" s="1"/>
      <c r="BG199" s="1"/>
      <c r="BH199" s="1"/>
      <c r="BI199" s="1"/>
      <c r="BJ199" s="1"/>
      <c r="BK199" s="1"/>
      <c r="BL199" s="1"/>
      <c r="BM199" s="1"/>
      <c r="BN199" s="1"/>
      <c r="BO199" s="1"/>
      <c r="BP199" s="1"/>
      <c r="BQ199" s="1"/>
      <c r="BR199" s="1"/>
      <c r="BS199" s="1"/>
      <c r="BT199" s="1">
        <v>41460.25</v>
      </c>
      <c r="BU199" s="1"/>
      <c r="BV199" s="1"/>
      <c r="BW199" s="1"/>
      <c r="BX199" s="1"/>
      <c r="BY199" s="1">
        <v>41551.25</v>
      </c>
      <c r="BZ199" s="1"/>
      <c r="CA199" s="1"/>
      <c r="CB199" s="1"/>
      <c r="CC199" s="1"/>
      <c r="CD199" s="1"/>
      <c r="CE199" s="1"/>
      <c r="CF199" s="1"/>
      <c r="CG199" s="1"/>
      <c r="CH199" s="1"/>
      <c r="CI199" s="1"/>
      <c r="CJ199" s="1"/>
      <c r="CK199" s="1"/>
      <c r="CL199" s="1"/>
      <c r="CM199" s="1"/>
      <c r="CN199" s="1"/>
      <c r="CO199" s="1"/>
      <c r="CP199" s="1"/>
      <c r="CQ199" s="1"/>
      <c r="CR199" s="1">
        <v>41600.25</v>
      </c>
      <c r="CS199" s="1"/>
      <c r="CT199" s="1"/>
      <c r="CU199" s="1"/>
      <c r="CV199" s="1"/>
      <c r="CW199" s="1"/>
      <c r="CX199" s="1"/>
      <c r="CY199" s="1"/>
      <c r="CZ199" s="1"/>
      <c r="DA199" s="1"/>
      <c r="DB199" s="1"/>
      <c r="DC199" s="1"/>
      <c r="DD199" s="1">
        <v>41745.25</v>
      </c>
      <c r="DE199" s="1"/>
      <c r="DF199" s="1"/>
      <c r="DG199" s="1"/>
      <c r="DH199" s="1"/>
      <c r="DI199" s="1"/>
      <c r="DJ199" s="1"/>
      <c r="DK199" s="1"/>
      <c r="DL199" s="1">
        <v>41744.25</v>
      </c>
      <c r="DM199" s="1"/>
      <c r="DN199" s="1"/>
      <c r="DO199" s="1"/>
      <c r="DP199" s="1"/>
      <c r="DQ199" s="1"/>
      <c r="DR199" s="1"/>
      <c r="DS199" s="1"/>
      <c r="DT199" s="1"/>
      <c r="DU199" s="1"/>
      <c r="DV199" s="1"/>
      <c r="DW199" s="1"/>
      <c r="DX199" s="1"/>
      <c r="DY199" s="1">
        <v>41746.25</v>
      </c>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row>
    <row r="200" spans="1:216" x14ac:dyDescent="0.3">
      <c r="A200" s="3" t="str">
        <f>HYPERLINK("https://hpr-rps.hres.ca/reg-content/summary-basis-decision-detailTwo.php?lang=en&amp;linkID=SBD00201", "Xofigo")</f>
        <v>Xofigo</v>
      </c>
      <c r="B200" s="1" t="s">
        <v>577</v>
      </c>
      <c r="C200" s="1" t="s">
        <v>338</v>
      </c>
      <c r="D200" s="1" t="s">
        <v>578</v>
      </c>
      <c r="E200" s="1">
        <v>41010.25</v>
      </c>
      <c r="F200" s="1"/>
      <c r="G200" s="1"/>
      <c r="H200" s="1">
        <v>41277.25</v>
      </c>
      <c r="I200" s="1"/>
      <c r="J200" s="1"/>
      <c r="K200" s="1"/>
      <c r="L200" s="1"/>
      <c r="M200" s="1"/>
      <c r="N200" s="1"/>
      <c r="O200" s="1"/>
      <c r="P200" s="1"/>
      <c r="Q200" s="1"/>
      <c r="R200" s="1"/>
      <c r="S200" s="1"/>
      <c r="T200" s="1"/>
      <c r="U200" s="1"/>
      <c r="V200" s="1"/>
      <c r="W200" s="1"/>
      <c r="X200" s="1"/>
      <c r="Y200" s="1"/>
      <c r="Z200" s="1"/>
      <c r="AA200" s="1"/>
      <c r="AB200" s="1"/>
      <c r="AC200" s="1"/>
      <c r="AD200" s="1"/>
      <c r="AE200" s="1"/>
      <c r="AF200" s="1">
        <v>41320.25</v>
      </c>
      <c r="AG200" s="1"/>
      <c r="AH200" s="1"/>
      <c r="AI200" s="1"/>
      <c r="AJ200" s="1"/>
      <c r="AK200" s="1"/>
      <c r="AL200" s="1"/>
      <c r="AM200" s="1"/>
      <c r="AN200" s="1"/>
      <c r="AO200" s="1"/>
      <c r="AP200" s="1"/>
      <c r="AQ200" s="1"/>
      <c r="AR200" s="1">
        <v>41619.25</v>
      </c>
      <c r="AS200" s="1"/>
      <c r="AT200" s="1"/>
      <c r="AU200" s="1"/>
      <c r="AV200" s="1">
        <v>41600.25</v>
      </c>
      <c r="AW200" s="1"/>
      <c r="AX200" s="1"/>
      <c r="AY200" s="1"/>
      <c r="AZ200" s="1">
        <v>41614.25</v>
      </c>
      <c r="BA200" s="1"/>
      <c r="BB200" s="1"/>
      <c r="BC200" s="1"/>
      <c r="BD200" s="1"/>
      <c r="BE200" s="1"/>
      <c r="BF200" s="1"/>
      <c r="BG200" s="1"/>
      <c r="BH200" s="1"/>
      <c r="BI200" s="1"/>
      <c r="BJ200" s="1"/>
      <c r="BK200" s="1"/>
      <c r="BL200" s="1"/>
      <c r="BM200" s="1">
        <v>41620.25</v>
      </c>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row>
    <row r="201" spans="1:216" x14ac:dyDescent="0.3">
      <c r="A201" s="3" t="str">
        <f>HYPERLINK("https://hpr-rps.hres.ca/reg-content/summary-basis-decision-detailTwo.php?lang=en&amp;linkID=SBD00202", "Xtandi")</f>
        <v>Xtandi</v>
      </c>
      <c r="B201" s="1" t="s">
        <v>579</v>
      </c>
      <c r="C201" s="1" t="s">
        <v>328</v>
      </c>
      <c r="D201" s="1" t="s">
        <v>580</v>
      </c>
      <c r="E201" s="1">
        <v>41150.25</v>
      </c>
      <c r="F201" s="1"/>
      <c r="G201" s="1"/>
      <c r="H201" s="1"/>
      <c r="I201" s="1"/>
      <c r="J201" s="1"/>
      <c r="K201" s="1"/>
      <c r="L201" s="1"/>
      <c r="M201" s="1"/>
      <c r="N201" s="1">
        <v>41208.25</v>
      </c>
      <c r="O201" s="1"/>
      <c r="P201" s="1"/>
      <c r="Q201" s="1"/>
      <c r="R201" s="1"/>
      <c r="S201" s="1">
        <v>41423.25</v>
      </c>
      <c r="T201" s="1"/>
      <c r="U201" s="1"/>
      <c r="V201" s="1">
        <v>41208.25</v>
      </c>
      <c r="W201" s="1"/>
      <c r="X201" s="1"/>
      <c r="Y201" s="1"/>
      <c r="Z201" s="1"/>
      <c r="AA201" s="1"/>
      <c r="AB201" s="1"/>
      <c r="AC201" s="1"/>
      <c r="AD201" s="1"/>
      <c r="AE201" s="1"/>
      <c r="AF201" s="1">
        <v>41243.25</v>
      </c>
      <c r="AG201" s="1"/>
      <c r="AH201" s="1"/>
      <c r="AI201" s="1"/>
      <c r="AJ201" s="1"/>
      <c r="AK201" s="1"/>
      <c r="AL201" s="1"/>
      <c r="AM201" s="1"/>
      <c r="AN201" s="1"/>
      <c r="AO201" s="1"/>
      <c r="AP201" s="1"/>
      <c r="AQ201" s="1"/>
      <c r="AR201" s="1">
        <v>41422.25</v>
      </c>
      <c r="AS201" s="1">
        <v>41334.25</v>
      </c>
      <c r="AT201" s="1"/>
      <c r="AU201" s="1"/>
      <c r="AV201" s="1">
        <v>41386.25</v>
      </c>
      <c r="AW201" s="1"/>
      <c r="AX201" s="1">
        <v>41317.25</v>
      </c>
      <c r="AY201" s="1"/>
      <c r="AZ201" s="1">
        <v>41423.25</v>
      </c>
      <c r="BA201" s="1"/>
      <c r="BB201" s="1"/>
      <c r="BC201" s="1"/>
      <c r="BD201" s="1"/>
      <c r="BE201" s="1"/>
      <c r="BF201" s="1"/>
      <c r="BG201" s="1"/>
      <c r="BH201" s="1"/>
      <c r="BI201" s="1"/>
      <c r="BJ201" s="1"/>
      <c r="BK201" s="1"/>
      <c r="BL201" s="1"/>
      <c r="BM201" s="1">
        <v>41423.25</v>
      </c>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row>
    <row r="202" spans="1:216" x14ac:dyDescent="0.3">
      <c r="A202" s="3" t="str">
        <f>HYPERLINK("https://hpr-rps.hres.ca/reg-content/summary-basis-decision-detailTwo.php?lang=en&amp;linkID=SBD00203", "Zaxine")</f>
        <v>Zaxine</v>
      </c>
      <c r="B202" s="1" t="s">
        <v>581</v>
      </c>
      <c r="C202" s="1" t="s">
        <v>582</v>
      </c>
      <c r="D202" s="1" t="s">
        <v>583</v>
      </c>
      <c r="E202" s="1">
        <v>41186.25</v>
      </c>
      <c r="F202" s="1"/>
      <c r="G202" s="1"/>
      <c r="H202" s="1"/>
      <c r="I202" s="1"/>
      <c r="J202" s="1"/>
      <c r="K202" s="1"/>
      <c r="L202" s="1"/>
      <c r="M202" s="1"/>
      <c r="N202" s="1">
        <v>41214.208333333343</v>
      </c>
      <c r="O202" s="1"/>
      <c r="P202" s="1"/>
      <c r="Q202" s="1"/>
      <c r="R202" s="1"/>
      <c r="S202" s="1">
        <v>41248.25</v>
      </c>
      <c r="T202" s="1"/>
      <c r="U202" s="1"/>
      <c r="V202" s="1">
        <v>41288.25</v>
      </c>
      <c r="W202" s="1"/>
      <c r="X202" s="1"/>
      <c r="Y202" s="1"/>
      <c r="Z202" s="1"/>
      <c r="AA202" s="1"/>
      <c r="AB202" s="1"/>
      <c r="AC202" s="1"/>
      <c r="AD202" s="1"/>
      <c r="AE202" s="1"/>
      <c r="AF202" s="1">
        <v>41319.25</v>
      </c>
      <c r="AG202" s="1"/>
      <c r="AH202" s="1"/>
      <c r="AI202" s="1"/>
      <c r="AJ202" s="1"/>
      <c r="AK202" s="1"/>
      <c r="AL202" s="1"/>
      <c r="AM202" s="1"/>
      <c r="AN202" s="1"/>
      <c r="AO202" s="1"/>
      <c r="AP202" s="1"/>
      <c r="AQ202" s="1"/>
      <c r="AR202" s="1">
        <v>41493.25</v>
      </c>
      <c r="AS202" s="1"/>
      <c r="AT202" s="1"/>
      <c r="AU202" s="1"/>
      <c r="AV202" s="1">
        <v>41458.25</v>
      </c>
      <c r="AW202" s="1"/>
      <c r="AX202" s="1"/>
      <c r="AY202" s="1"/>
      <c r="AZ202" s="1">
        <v>41498.25</v>
      </c>
      <c r="BA202" s="1"/>
      <c r="BB202" s="1"/>
      <c r="BC202" s="1"/>
      <c r="BD202" s="1"/>
      <c r="BE202" s="1"/>
      <c r="BF202" s="1"/>
      <c r="BG202" s="1"/>
      <c r="BH202" s="1"/>
      <c r="BI202" s="1"/>
      <c r="BJ202" s="1"/>
      <c r="BK202" s="1"/>
      <c r="BL202" s="1"/>
      <c r="BM202" s="1">
        <v>41499.25</v>
      </c>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row>
    <row r="203" spans="1:216" x14ac:dyDescent="0.3">
      <c r="A203" s="3" t="str">
        <f>HYPERLINK("https://hpr-rps.hres.ca/reg-content/summary-basis-decision-detailTwo.php?lang=en&amp;linkID=SBD00204", "Zonovate")</f>
        <v>Zonovate</v>
      </c>
      <c r="B203" s="1" t="s">
        <v>584</v>
      </c>
      <c r="C203" s="1" t="s">
        <v>298</v>
      </c>
      <c r="D203" s="1" t="s">
        <v>585</v>
      </c>
      <c r="E203" s="1">
        <v>41247.25</v>
      </c>
      <c r="F203" s="1"/>
      <c r="G203" s="1"/>
      <c r="H203" s="1">
        <v>41624.25</v>
      </c>
      <c r="I203" s="1">
        <v>41683.25</v>
      </c>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row>
    <row r="204" spans="1:216" x14ac:dyDescent="0.3">
      <c r="A204" s="3" t="str">
        <f>HYPERLINK("https://hpr-rps.hres.ca/reg-content/summary-basis-decision-detailTwo.php?lang=en&amp;linkID=SBD00205", "Zydelig")</f>
        <v>Zydelig</v>
      </c>
      <c r="B204" s="1" t="s">
        <v>586</v>
      </c>
      <c r="C204" s="1" t="s">
        <v>134</v>
      </c>
      <c r="D204" s="1" t="s">
        <v>587</v>
      </c>
      <c r="E204" s="1">
        <v>41591.25</v>
      </c>
      <c r="F204" s="1"/>
      <c r="G204" s="1"/>
      <c r="H204" s="1">
        <v>41698.25</v>
      </c>
      <c r="I204" s="1"/>
      <c r="J204" s="1"/>
      <c r="K204" s="1"/>
      <c r="L204" s="1"/>
      <c r="M204" s="1"/>
      <c r="N204" s="1"/>
      <c r="O204" s="1"/>
      <c r="P204" s="1"/>
      <c r="Q204" s="1"/>
      <c r="R204" s="1"/>
      <c r="S204" s="1"/>
      <c r="T204" s="1"/>
      <c r="U204" s="1"/>
      <c r="V204" s="1"/>
      <c r="W204" s="1"/>
      <c r="X204" s="1"/>
      <c r="Y204" s="1"/>
      <c r="Z204" s="1"/>
      <c r="AA204" s="1"/>
      <c r="AB204" s="1"/>
      <c r="AC204" s="1"/>
      <c r="AD204" s="1"/>
      <c r="AE204" s="1"/>
      <c r="AF204" s="1">
        <v>41754.25</v>
      </c>
      <c r="AG204" s="1"/>
      <c r="AH204" s="1"/>
      <c r="AI204" s="1"/>
      <c r="AJ204" s="1"/>
      <c r="AK204" s="1"/>
      <c r="AL204" s="1"/>
      <c r="AM204" s="1"/>
      <c r="AN204" s="1"/>
      <c r="AO204" s="1"/>
      <c r="AP204" s="1"/>
      <c r="AQ204" s="1"/>
      <c r="AR204" s="1">
        <v>42080.208333333343</v>
      </c>
      <c r="AS204" s="1"/>
      <c r="AT204" s="1"/>
      <c r="AU204" s="1"/>
      <c r="AV204" s="1">
        <v>42047.25</v>
      </c>
      <c r="AW204" s="1"/>
      <c r="AX204" s="1"/>
      <c r="AY204" s="1"/>
      <c r="AZ204" s="1">
        <v>42089.208333333343</v>
      </c>
      <c r="BA204" s="1"/>
      <c r="BB204" s="1"/>
      <c r="BC204" s="1"/>
      <c r="BD204" s="1"/>
      <c r="BE204" s="1"/>
      <c r="BF204" s="1"/>
      <c r="BG204" s="1"/>
      <c r="BH204" s="1"/>
      <c r="BI204" s="1"/>
      <c r="BJ204" s="1"/>
      <c r="BK204" s="1"/>
      <c r="BL204" s="1">
        <v>42054.25</v>
      </c>
      <c r="BM204" s="1">
        <v>42065.25</v>
      </c>
      <c r="BN204" s="1"/>
      <c r="BO204" s="1"/>
      <c r="BP204" s="1"/>
      <c r="BQ204" s="1"/>
      <c r="BR204" s="1"/>
      <c r="BS204" s="1"/>
      <c r="BT204" s="1"/>
      <c r="BU204" s="1"/>
      <c r="BV204" s="1"/>
      <c r="BW204" s="1"/>
      <c r="BX204" s="1"/>
      <c r="BY204" s="1">
        <v>42060.25</v>
      </c>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row>
    <row r="205" spans="1:216" x14ac:dyDescent="0.3">
      <c r="A205" s="3" t="str">
        <f>HYPERLINK("https://hpr-rps.hres.ca/reg-content/summary-basis-decision-detailTwo.php?lang=en&amp;linkID=SBD00206", "Zykadia")</f>
        <v>Zykadia</v>
      </c>
      <c r="B205" s="1" t="s">
        <v>588</v>
      </c>
      <c r="C205" s="1" t="s">
        <v>87</v>
      </c>
      <c r="D205" s="1" t="s">
        <v>589</v>
      </c>
      <c r="E205" s="1">
        <v>41660.25</v>
      </c>
      <c r="F205" s="1"/>
      <c r="G205" s="1">
        <v>41813.25</v>
      </c>
      <c r="H205" s="1">
        <v>41806.25</v>
      </c>
      <c r="I205" s="1">
        <v>41837.25</v>
      </c>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row>
    <row r="206" spans="1:216" x14ac:dyDescent="0.3">
      <c r="A206" s="3" t="str">
        <f>HYPERLINK("https://hpr-rps.hres.ca/reg-content/summary-basis-decision-detailTwo.php?lang=en&amp;linkID=SBD00207", "Blincyto")</f>
        <v>Blincyto</v>
      </c>
      <c r="B206" s="1" t="s">
        <v>590</v>
      </c>
      <c r="C206" s="1" t="s">
        <v>286</v>
      </c>
      <c r="D206" s="1" t="s">
        <v>591</v>
      </c>
      <c r="E206" s="1">
        <v>41373.25</v>
      </c>
      <c r="F206" s="1"/>
      <c r="G206" s="1"/>
      <c r="H206" s="1">
        <v>42034.25</v>
      </c>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row>
    <row r="207" spans="1:216" x14ac:dyDescent="0.3">
      <c r="A207" s="3" t="str">
        <f>HYPERLINK("https://hpr-rps.hres.ca/reg-content/summary-basis-decision-detailTwo.php?lang=en&amp;linkID=SBD00208", "Entresto")</f>
        <v>Entresto</v>
      </c>
      <c r="B207" s="1" t="s">
        <v>592</v>
      </c>
      <c r="C207" s="1" t="s">
        <v>87</v>
      </c>
      <c r="D207" s="1" t="s">
        <v>593</v>
      </c>
      <c r="E207" s="1">
        <v>41942.208333333343</v>
      </c>
      <c r="F207" s="1"/>
      <c r="G207" s="1"/>
      <c r="H207" s="1"/>
      <c r="I207" s="1"/>
      <c r="J207" s="1"/>
      <c r="K207" s="1"/>
      <c r="L207" s="1"/>
      <c r="M207" s="1"/>
      <c r="N207" s="1">
        <v>42037.25</v>
      </c>
      <c r="O207" s="1"/>
      <c r="P207" s="1"/>
      <c r="Q207" s="1"/>
      <c r="R207" s="1"/>
      <c r="S207" s="1">
        <v>42065.25</v>
      </c>
      <c r="T207" s="1"/>
      <c r="U207" s="1"/>
      <c r="V207" s="1">
        <v>42069.25</v>
      </c>
      <c r="W207" s="1"/>
      <c r="X207" s="1"/>
      <c r="Y207" s="1"/>
      <c r="Z207" s="1"/>
      <c r="AA207" s="1"/>
      <c r="AB207" s="1"/>
      <c r="AC207" s="1"/>
      <c r="AD207" s="1"/>
      <c r="AE207" s="1"/>
      <c r="AF207" s="1">
        <v>42094.25</v>
      </c>
      <c r="AG207" s="1"/>
      <c r="AH207" s="1"/>
      <c r="AI207" s="1"/>
      <c r="AJ207" s="1"/>
      <c r="AK207" s="1"/>
      <c r="AL207" s="1"/>
      <c r="AM207" s="1"/>
      <c r="AN207" s="1"/>
      <c r="AO207" s="1"/>
      <c r="AP207" s="1"/>
      <c r="AQ207" s="1"/>
      <c r="AR207" s="1">
        <v>42278.25</v>
      </c>
      <c r="AS207" s="1">
        <v>42272.25</v>
      </c>
      <c r="AT207" s="1"/>
      <c r="AU207" s="1"/>
      <c r="AV207" s="1">
        <v>42277.25</v>
      </c>
      <c r="AW207" s="1"/>
      <c r="AX207" s="1"/>
      <c r="AY207" s="1"/>
      <c r="AZ207" s="1">
        <v>42278.25</v>
      </c>
      <c r="BA207" s="1"/>
      <c r="BB207" s="1"/>
      <c r="BC207" s="1"/>
      <c r="BD207" s="1"/>
      <c r="BE207" s="1"/>
      <c r="BF207" s="1"/>
      <c r="BG207" s="1"/>
      <c r="BH207" s="1"/>
      <c r="BI207" s="1"/>
      <c r="BJ207" s="1"/>
      <c r="BK207" s="1"/>
      <c r="BL207" s="1"/>
      <c r="BM207" s="1">
        <v>42279.25</v>
      </c>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row>
    <row r="208" spans="1:216" x14ac:dyDescent="0.3">
      <c r="A208" s="3" t="str">
        <f>HYPERLINK("https://hpr-rps.hres.ca/reg-content/summary-basis-decision-detailTwo.php?lang=en&amp;linkID=SBD00211", "Entyvio")</f>
        <v>Entyvio</v>
      </c>
      <c r="B208" s="1" t="s">
        <v>594</v>
      </c>
      <c r="C208" s="1" t="s">
        <v>241</v>
      </c>
      <c r="D208" s="1" t="s">
        <v>595</v>
      </c>
      <c r="E208" s="1">
        <v>41372.25</v>
      </c>
      <c r="F208" s="1"/>
      <c r="G208" s="1"/>
      <c r="H208" s="1">
        <v>41576.208333333343</v>
      </c>
      <c r="I208" s="1"/>
      <c r="J208" s="1"/>
      <c r="K208" s="1"/>
      <c r="L208" s="1"/>
      <c r="M208" s="1"/>
      <c r="N208" s="1"/>
      <c r="O208" s="1"/>
      <c r="P208" s="1"/>
      <c r="Q208" s="1"/>
      <c r="R208" s="1"/>
      <c r="S208" s="1"/>
      <c r="T208" s="1"/>
      <c r="U208" s="1"/>
      <c r="V208" s="1"/>
      <c r="W208" s="1"/>
      <c r="X208" s="1"/>
      <c r="Y208" s="1"/>
      <c r="Z208" s="1">
        <v>41652.25</v>
      </c>
      <c r="AA208" s="1"/>
      <c r="AB208" s="1"/>
      <c r="AC208" s="1">
        <v>41681.25</v>
      </c>
      <c r="AD208" s="1"/>
      <c r="AE208" s="1"/>
      <c r="AF208" s="1">
        <v>41733.25</v>
      </c>
      <c r="AG208" s="1"/>
      <c r="AH208" s="1"/>
      <c r="AI208" s="1"/>
      <c r="AJ208" s="1"/>
      <c r="AK208" s="1"/>
      <c r="AL208" s="1"/>
      <c r="AM208" s="1"/>
      <c r="AN208" s="1"/>
      <c r="AO208" s="1"/>
      <c r="AP208" s="1"/>
      <c r="AQ208" s="1"/>
      <c r="AR208" s="1">
        <v>42033.25</v>
      </c>
      <c r="AS208" s="1"/>
      <c r="AT208" s="1"/>
      <c r="AU208" s="1"/>
      <c r="AV208" s="1">
        <v>42033.25</v>
      </c>
      <c r="AW208" s="1"/>
      <c r="AX208" s="1"/>
      <c r="AY208" s="1"/>
      <c r="AZ208" s="1">
        <v>42033.25</v>
      </c>
      <c r="BA208" s="1"/>
      <c r="BB208" s="1"/>
      <c r="BC208" s="1"/>
      <c r="BD208" s="1"/>
      <c r="BE208" s="1"/>
      <c r="BF208" s="1"/>
      <c r="BG208" s="1"/>
      <c r="BH208" s="1"/>
      <c r="BI208" s="1"/>
      <c r="BJ208" s="1"/>
      <c r="BK208" s="1"/>
      <c r="BL208" s="1"/>
      <c r="BM208" s="1">
        <v>42033.25</v>
      </c>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row>
    <row r="209" spans="1:216" x14ac:dyDescent="0.3">
      <c r="A209" s="3" t="str">
        <f>HYPERLINK("https://hpr-rps.hres.ca/reg-content/summary-basis-decision-detailTwo.php?lang=en&amp;linkID=SBD00209", "Lenvima")</f>
        <v>Lenvima</v>
      </c>
      <c r="B209" s="1" t="s">
        <v>596</v>
      </c>
      <c r="C209" s="1" t="s">
        <v>90</v>
      </c>
      <c r="D209" s="1" t="s">
        <v>597</v>
      </c>
      <c r="E209" s="1">
        <v>41913.25</v>
      </c>
      <c r="F209" s="1"/>
      <c r="G209" s="1"/>
      <c r="H209" s="1">
        <v>42012.25</v>
      </c>
      <c r="I209" s="1"/>
      <c r="J209" s="1"/>
      <c r="K209" s="1"/>
      <c r="L209" s="1"/>
      <c r="M209" s="1"/>
      <c r="N209" s="1"/>
      <c r="O209" s="1"/>
      <c r="P209" s="1"/>
      <c r="Q209" s="1"/>
      <c r="R209" s="1"/>
      <c r="S209" s="1"/>
      <c r="T209" s="1"/>
      <c r="U209" s="1"/>
      <c r="V209" s="1"/>
      <c r="W209" s="1"/>
      <c r="X209" s="1"/>
      <c r="Y209" s="1"/>
      <c r="Z209" s="1"/>
      <c r="AA209" s="1"/>
      <c r="AB209" s="1"/>
      <c r="AC209" s="1"/>
      <c r="AD209" s="1"/>
      <c r="AE209" s="1"/>
      <c r="AF209" s="1">
        <v>42061.25</v>
      </c>
      <c r="AG209" s="1"/>
      <c r="AH209" s="1"/>
      <c r="AI209" s="1"/>
      <c r="AJ209" s="1"/>
      <c r="AK209" s="1"/>
      <c r="AL209" s="1"/>
      <c r="AM209" s="1"/>
      <c r="AN209" s="1"/>
      <c r="AO209" s="1"/>
      <c r="AP209" s="1"/>
      <c r="AQ209" s="1"/>
      <c r="AR209" s="1">
        <v>42356.25</v>
      </c>
      <c r="AS209" s="1">
        <v>42263.25</v>
      </c>
      <c r="AT209" s="1"/>
      <c r="AU209" s="1"/>
      <c r="AV209" s="1">
        <v>42359.25</v>
      </c>
      <c r="AW209" s="1"/>
      <c r="AX209" s="1">
        <v>42285.25</v>
      </c>
      <c r="AY209" s="1"/>
      <c r="AZ209" s="1">
        <v>42360.25</v>
      </c>
      <c r="BA209" s="1"/>
      <c r="BB209" s="1"/>
      <c r="BC209" s="1"/>
      <c r="BD209" s="1"/>
      <c r="BE209" s="1"/>
      <c r="BF209" s="1"/>
      <c r="BG209" s="1"/>
      <c r="BH209" s="1"/>
      <c r="BI209" s="1"/>
      <c r="BJ209" s="1"/>
      <c r="BK209" s="1"/>
      <c r="BL209" s="1"/>
      <c r="BM209" s="1">
        <v>42360.25</v>
      </c>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row>
    <row r="210" spans="1:216" x14ac:dyDescent="0.3">
      <c r="A210" s="3" t="str">
        <f>HYPERLINK("https://hpr-rps.hres.ca/reg-content/summary-basis-decision-detailTwo.php?lang=en&amp;linkID=SBD00210", "Eloctate")</f>
        <v>Eloctate</v>
      </c>
      <c r="B210" s="1" t="s">
        <v>598</v>
      </c>
      <c r="C210" s="1" t="s">
        <v>506</v>
      </c>
      <c r="D210" s="1" t="s">
        <v>599</v>
      </c>
      <c r="E210" s="1">
        <v>41416.25</v>
      </c>
      <c r="F210" s="1"/>
      <c r="G210" s="1"/>
      <c r="H210" s="1">
        <v>41485.25</v>
      </c>
      <c r="I210" s="1"/>
      <c r="J210" s="1"/>
      <c r="K210" s="1"/>
      <c r="L210" s="1"/>
      <c r="M210" s="1"/>
      <c r="N210" s="1"/>
      <c r="O210" s="1"/>
      <c r="P210" s="1"/>
      <c r="Q210" s="1"/>
      <c r="R210" s="1"/>
      <c r="S210" s="1"/>
      <c r="T210" s="1"/>
      <c r="U210" s="1"/>
      <c r="V210" s="1"/>
      <c r="W210" s="1"/>
      <c r="X210" s="1"/>
      <c r="Y210" s="1"/>
      <c r="Z210" s="1">
        <v>41535.25</v>
      </c>
      <c r="AA210" s="1"/>
      <c r="AB210" s="1"/>
      <c r="AC210" s="1">
        <v>41549.25</v>
      </c>
      <c r="AD210" s="1"/>
      <c r="AE210" s="1"/>
      <c r="AF210" s="1">
        <v>41576.208333333343</v>
      </c>
      <c r="AG210" s="1"/>
      <c r="AH210" s="1"/>
      <c r="AI210" s="1"/>
      <c r="AJ210" s="1"/>
      <c r="AK210" s="1"/>
      <c r="AL210" s="1"/>
      <c r="AM210" s="1"/>
      <c r="AN210" s="1"/>
      <c r="AO210" s="1">
        <v>41806.25</v>
      </c>
      <c r="AP210" s="1"/>
      <c r="AQ210" s="1"/>
      <c r="AR210" s="1">
        <v>41870.25</v>
      </c>
      <c r="AS210" s="1"/>
      <c r="AT210" s="1"/>
      <c r="AU210" s="1"/>
      <c r="AV210" s="1">
        <v>41871.25</v>
      </c>
      <c r="AW210" s="1"/>
      <c r="AX210" s="1">
        <v>41870.25</v>
      </c>
      <c r="AY210" s="1"/>
      <c r="AZ210" s="1">
        <v>41870.25</v>
      </c>
      <c r="BA210" s="1"/>
      <c r="BB210" s="1"/>
      <c r="BC210" s="1"/>
      <c r="BD210" s="1"/>
      <c r="BE210" s="1"/>
      <c r="BF210" s="1"/>
      <c r="BG210" s="1"/>
      <c r="BH210" s="1"/>
      <c r="BI210" s="1"/>
      <c r="BJ210" s="1"/>
      <c r="BK210" s="1"/>
      <c r="BL210" s="1"/>
      <c r="BM210" s="1">
        <v>41873.25</v>
      </c>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row>
    <row r="211" spans="1:216" x14ac:dyDescent="0.3">
      <c r="A211" s="3" t="str">
        <f>HYPERLINK("https://hpr-rps.hres.ca/reg-content/summary-basis-decision-detailTwo.php?lang=en&amp;linkID=SBD00212", "Erivedge")</f>
        <v>Erivedge</v>
      </c>
      <c r="B211" s="1" t="s">
        <v>600</v>
      </c>
      <c r="C211" s="1" t="s">
        <v>84</v>
      </c>
      <c r="D211" s="1" t="s">
        <v>601</v>
      </c>
      <c r="E211" s="1">
        <v>40932.25</v>
      </c>
      <c r="F211" s="1"/>
      <c r="G211" s="1"/>
      <c r="H211" s="1">
        <v>41001.25</v>
      </c>
      <c r="I211" s="1"/>
      <c r="J211" s="1"/>
      <c r="K211" s="1"/>
      <c r="L211" s="1"/>
      <c r="M211" s="1"/>
      <c r="N211" s="1"/>
      <c r="O211" s="1"/>
      <c r="P211" s="1"/>
      <c r="Q211" s="1"/>
      <c r="R211" s="1"/>
      <c r="S211" s="1"/>
      <c r="T211" s="1"/>
      <c r="U211" s="1"/>
      <c r="V211" s="1"/>
      <c r="W211" s="1"/>
      <c r="X211" s="1"/>
      <c r="Y211" s="1"/>
      <c r="Z211" s="1"/>
      <c r="AA211" s="1"/>
      <c r="AB211" s="1"/>
      <c r="AC211" s="1"/>
      <c r="AD211" s="1"/>
      <c r="AE211" s="1"/>
      <c r="AF211" s="1">
        <v>41036.25</v>
      </c>
      <c r="AG211" s="1"/>
      <c r="AH211" s="1"/>
      <c r="AI211" s="1"/>
      <c r="AJ211" s="1"/>
      <c r="AK211" s="1"/>
      <c r="AL211" s="1"/>
      <c r="AM211" s="1"/>
      <c r="AN211" s="1"/>
      <c r="AO211" s="1"/>
      <c r="AP211" s="1"/>
      <c r="AQ211" s="1"/>
      <c r="AR211" s="1"/>
      <c r="AS211" s="1"/>
      <c r="AT211" s="1"/>
      <c r="AU211" s="1"/>
      <c r="AV211" s="1">
        <v>41227.25</v>
      </c>
      <c r="AW211" s="1"/>
      <c r="AX211" s="1">
        <v>41205.25</v>
      </c>
      <c r="AY211" s="1"/>
      <c r="AZ211" s="1">
        <v>41235.25</v>
      </c>
      <c r="BA211" s="1"/>
      <c r="BB211" s="1"/>
      <c r="BC211" s="1"/>
      <c r="BD211" s="1"/>
      <c r="BE211" s="1"/>
      <c r="BF211" s="1"/>
      <c r="BG211" s="1"/>
      <c r="BH211" s="1">
        <v>41187.25</v>
      </c>
      <c r="BI211" s="1"/>
      <c r="BJ211" s="1"/>
      <c r="BK211" s="1"/>
      <c r="BL211" s="1"/>
      <c r="BM211" s="1"/>
      <c r="BN211" s="1"/>
      <c r="BO211" s="1"/>
      <c r="BP211" s="1"/>
      <c r="BQ211" s="1"/>
      <c r="BR211" s="1"/>
      <c r="BS211" s="1"/>
      <c r="BT211" s="1">
        <v>41236.25</v>
      </c>
      <c r="BU211" s="1"/>
      <c r="BV211" s="1"/>
      <c r="BW211" s="1"/>
      <c r="BX211" s="1"/>
      <c r="BY211" s="1"/>
      <c r="BZ211" s="1"/>
      <c r="CA211" s="1"/>
      <c r="CB211" s="1"/>
      <c r="CC211" s="1">
        <v>41354.208333333343</v>
      </c>
      <c r="CD211" s="1"/>
      <c r="CE211" s="1"/>
      <c r="CF211" s="1"/>
      <c r="CG211" s="1"/>
      <c r="CH211" s="1"/>
      <c r="CI211" s="1"/>
      <c r="CJ211" s="1"/>
      <c r="CK211" s="1"/>
      <c r="CL211" s="1"/>
      <c r="CM211" s="1"/>
      <c r="CN211" s="1"/>
      <c r="CO211" s="1"/>
      <c r="CP211" s="1"/>
      <c r="CQ211" s="1"/>
      <c r="CR211" s="1">
        <v>41380.25</v>
      </c>
      <c r="CS211" s="1"/>
      <c r="CT211" s="1"/>
      <c r="CU211" s="1"/>
      <c r="CV211" s="1"/>
      <c r="CW211" s="1"/>
      <c r="CX211" s="1"/>
      <c r="CY211" s="1"/>
      <c r="CZ211" s="1"/>
      <c r="DA211" s="1"/>
      <c r="DB211" s="1"/>
      <c r="DC211" s="1"/>
      <c r="DD211" s="1">
        <v>41463.25</v>
      </c>
      <c r="DE211" s="1"/>
      <c r="DF211" s="1"/>
      <c r="DG211" s="1"/>
      <c r="DH211" s="1"/>
      <c r="DI211" s="1"/>
      <c r="DJ211" s="1"/>
      <c r="DK211" s="1"/>
      <c r="DL211" s="1">
        <v>41227.25</v>
      </c>
      <c r="DM211" s="1"/>
      <c r="DN211" s="1"/>
      <c r="DO211" s="1"/>
      <c r="DP211" s="1"/>
      <c r="DQ211" s="1"/>
      <c r="DR211" s="1"/>
      <c r="DS211" s="1"/>
      <c r="DT211" s="1"/>
      <c r="DU211" s="1"/>
      <c r="DV211" s="1"/>
      <c r="DW211" s="1"/>
      <c r="DX211" s="1"/>
      <c r="DY211" s="1">
        <v>41467.25</v>
      </c>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row>
    <row r="212" spans="1:216" x14ac:dyDescent="0.3">
      <c r="A212" s="3" t="str">
        <f>HYPERLINK("https://hpr-rps.hres.ca/reg-content/summary-basis-decision-detailTwo.php?lang=en&amp;linkID=SBD00213", "Esbriet")</f>
        <v>Esbriet</v>
      </c>
      <c r="B212" s="1" t="s">
        <v>602</v>
      </c>
      <c r="C212" s="1" t="s">
        <v>603</v>
      </c>
      <c r="D212" s="1" t="s">
        <v>604</v>
      </c>
      <c r="E212" s="1">
        <v>40758.25</v>
      </c>
      <c r="F212" s="1"/>
      <c r="G212" s="1"/>
      <c r="H212" s="1"/>
      <c r="I212" s="1"/>
      <c r="J212" s="1"/>
      <c r="K212" s="1"/>
      <c r="L212" s="1"/>
      <c r="M212" s="1"/>
      <c r="N212" s="1">
        <v>40879.25</v>
      </c>
      <c r="O212" s="1"/>
      <c r="P212" s="1"/>
      <c r="Q212" s="1"/>
      <c r="R212" s="1"/>
      <c r="S212" s="1">
        <v>40913.25</v>
      </c>
      <c r="T212" s="1"/>
      <c r="U212" s="1"/>
      <c r="V212" s="1">
        <v>40970.25</v>
      </c>
      <c r="W212" s="1"/>
      <c r="X212" s="1"/>
      <c r="Y212" s="1"/>
      <c r="Z212" s="1"/>
      <c r="AA212" s="1"/>
      <c r="AB212" s="1"/>
      <c r="AC212" s="1"/>
      <c r="AD212" s="1"/>
      <c r="AE212" s="1"/>
      <c r="AF212" s="1">
        <v>41003.25</v>
      </c>
      <c r="AG212" s="1"/>
      <c r="AH212" s="1"/>
      <c r="AI212" s="1"/>
      <c r="AJ212" s="1"/>
      <c r="AK212" s="1"/>
      <c r="AL212" s="1"/>
      <c r="AM212" s="1"/>
      <c r="AN212" s="1"/>
      <c r="AO212" s="1"/>
      <c r="AP212" s="1"/>
      <c r="AQ212" s="1"/>
      <c r="AR212" s="1">
        <v>41176.25</v>
      </c>
      <c r="AS212" s="1">
        <v>41176.25</v>
      </c>
      <c r="AT212" s="1"/>
      <c r="AU212" s="1"/>
      <c r="AV212" s="1">
        <v>41152.25</v>
      </c>
      <c r="AW212" s="1"/>
      <c r="AX212" s="1"/>
      <c r="AY212" s="1"/>
      <c r="AZ212" s="1">
        <v>41176.25</v>
      </c>
      <c r="BA212" s="1"/>
      <c r="BB212" s="1"/>
      <c r="BC212" s="1"/>
      <c r="BD212" s="1"/>
      <c r="BE212" s="1"/>
      <c r="BF212" s="1"/>
      <c r="BG212" s="1"/>
      <c r="BH212" s="1"/>
      <c r="BI212" s="1"/>
      <c r="BJ212" s="1"/>
      <c r="BK212" s="1"/>
      <c r="BL212" s="1"/>
      <c r="BM212" s="1">
        <v>41183.25</v>
      </c>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row>
    <row r="213" spans="1:216" x14ac:dyDescent="0.3">
      <c r="A213" s="3" t="str">
        <f>HYPERLINK("https://hpr-rps.hres.ca/reg-content/summary-basis-decision-detailTwo.php?lang=en&amp;linkID=SBD00214", "Eylea")</f>
        <v>Eylea</v>
      </c>
      <c r="B213" s="1" t="s">
        <v>605</v>
      </c>
      <c r="C213" s="1" t="s">
        <v>338</v>
      </c>
      <c r="D213" s="1" t="s">
        <v>606</v>
      </c>
      <c r="E213" s="1">
        <v>40632.25</v>
      </c>
      <c r="F213" s="1"/>
      <c r="G213" s="1"/>
      <c r="H213" s="1">
        <v>40772.25</v>
      </c>
      <c r="I213" s="1"/>
      <c r="J213" s="1"/>
      <c r="K213" s="1"/>
      <c r="L213" s="1"/>
      <c r="M213" s="1"/>
      <c r="N213" s="1"/>
      <c r="O213" s="1"/>
      <c r="P213" s="1"/>
      <c r="Q213" s="1"/>
      <c r="R213" s="1"/>
      <c r="S213" s="1"/>
      <c r="T213" s="1"/>
      <c r="U213" s="1"/>
      <c r="V213" s="1"/>
      <c r="W213" s="1"/>
      <c r="X213" s="1"/>
      <c r="Y213" s="1"/>
      <c r="Z213" s="1"/>
      <c r="AA213" s="1"/>
      <c r="AB213" s="1"/>
      <c r="AC213" s="1"/>
      <c r="AD213" s="1"/>
      <c r="AE213" s="1"/>
      <c r="AF213" s="1">
        <v>40823.25</v>
      </c>
      <c r="AG213" s="1"/>
      <c r="AH213" s="1"/>
      <c r="AI213" s="1"/>
      <c r="AJ213" s="1"/>
      <c r="AK213" s="1"/>
      <c r="AL213" s="1"/>
      <c r="AM213" s="1"/>
      <c r="AN213" s="1"/>
      <c r="AO213" s="1"/>
      <c r="AP213" s="1"/>
      <c r="AQ213" s="1"/>
      <c r="AR213" s="1"/>
      <c r="AS213" s="1"/>
      <c r="AT213" s="1"/>
      <c r="AU213" s="1"/>
      <c r="AV213" s="1">
        <v>41064.25</v>
      </c>
      <c r="AW213" s="1"/>
      <c r="AX213" s="1"/>
      <c r="AY213" s="1"/>
      <c r="AZ213" s="1"/>
      <c r="BA213" s="1"/>
      <c r="BB213" s="1"/>
      <c r="BC213" s="1"/>
      <c r="BD213" s="1"/>
      <c r="BE213" s="1"/>
      <c r="BF213" s="1"/>
      <c r="BG213" s="1"/>
      <c r="BH213" s="1"/>
      <c r="BI213" s="1"/>
      <c r="BJ213" s="1"/>
      <c r="BK213" s="1"/>
      <c r="BL213" s="1"/>
      <c r="BM213" s="1"/>
      <c r="BN213" s="1"/>
      <c r="BO213" s="1"/>
      <c r="BP213" s="1">
        <v>41064.25</v>
      </c>
      <c r="BQ213" s="1"/>
      <c r="BR213" s="1"/>
      <c r="BS213" s="1"/>
      <c r="BT213" s="1"/>
      <c r="BU213" s="1"/>
      <c r="BV213" s="1"/>
      <c r="BW213" s="1"/>
      <c r="BX213" s="1"/>
      <c r="BY213" s="1">
        <v>41245.25</v>
      </c>
      <c r="BZ213" s="1"/>
      <c r="CA213" s="1"/>
      <c r="CB213" s="1"/>
      <c r="CC213" s="1"/>
      <c r="CD213" s="1"/>
      <c r="CE213" s="1"/>
      <c r="CF213" s="1"/>
      <c r="CG213" s="1"/>
      <c r="CH213" s="1"/>
      <c r="CI213" s="1"/>
      <c r="CJ213" s="1"/>
      <c r="CK213" s="1"/>
      <c r="CL213" s="1"/>
      <c r="CM213" s="1"/>
      <c r="CN213" s="1"/>
      <c r="CO213" s="1"/>
      <c r="CP213" s="1"/>
      <c r="CQ213" s="1"/>
      <c r="CR213" s="1">
        <v>41288.25</v>
      </c>
      <c r="CS213" s="1"/>
      <c r="CT213" s="1"/>
      <c r="CU213" s="1"/>
      <c r="CV213" s="1"/>
      <c r="CW213" s="1"/>
      <c r="CX213" s="1"/>
      <c r="CY213" s="1"/>
      <c r="CZ213" s="1"/>
      <c r="DA213" s="1">
        <v>41568.25</v>
      </c>
      <c r="DB213" s="1"/>
      <c r="DC213" s="1"/>
      <c r="DD213" s="1">
        <v>41586.25</v>
      </c>
      <c r="DE213" s="1"/>
      <c r="DF213" s="1"/>
      <c r="DG213" s="1"/>
      <c r="DH213" s="1">
        <v>41586.25</v>
      </c>
      <c r="DI213" s="1"/>
      <c r="DJ213" s="1"/>
      <c r="DK213" s="1"/>
      <c r="DL213" s="1">
        <v>41586.25</v>
      </c>
      <c r="DM213" s="1"/>
      <c r="DN213" s="1"/>
      <c r="DO213" s="1"/>
      <c r="DP213" s="1"/>
      <c r="DQ213" s="1"/>
      <c r="DR213" s="1"/>
      <c r="DS213" s="1"/>
      <c r="DT213" s="1"/>
      <c r="DU213" s="1"/>
      <c r="DV213" s="1"/>
      <c r="DW213" s="1"/>
      <c r="DX213" s="1"/>
      <c r="DY213" s="1">
        <v>41586.25</v>
      </c>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row>
    <row r="214" spans="1:216" x14ac:dyDescent="0.3">
      <c r="A214" s="3" t="str">
        <f>HYPERLINK("https://hpr-rps.hres.ca/reg-content/summary-basis-decision-detailTwo.php?lang=en&amp;linkID=SBD00215", "Ferriprox")</f>
        <v>Ferriprox</v>
      </c>
      <c r="B214" s="1" t="s">
        <v>607</v>
      </c>
      <c r="C214" s="1" t="s">
        <v>608</v>
      </c>
      <c r="D214" s="1" t="s">
        <v>609</v>
      </c>
      <c r="E214" s="1">
        <v>41072.25</v>
      </c>
      <c r="F214" s="1"/>
      <c r="G214" s="1"/>
      <c r="H214" s="1">
        <v>41333.25</v>
      </c>
      <c r="I214" s="1"/>
      <c r="J214" s="1"/>
      <c r="K214" s="1"/>
      <c r="L214" s="1"/>
      <c r="M214" s="1"/>
      <c r="N214" s="1"/>
      <c r="O214" s="1"/>
      <c r="P214" s="1"/>
      <c r="Q214" s="1"/>
      <c r="R214" s="1"/>
      <c r="S214" s="1"/>
      <c r="T214" s="1"/>
      <c r="U214" s="1"/>
      <c r="V214" s="1"/>
      <c r="W214" s="1"/>
      <c r="X214" s="1"/>
      <c r="Y214" s="1"/>
      <c r="Z214" s="1">
        <v>41395.25</v>
      </c>
      <c r="AA214" s="1"/>
      <c r="AB214" s="1"/>
      <c r="AC214" s="1">
        <v>41438.25</v>
      </c>
      <c r="AD214" s="1"/>
      <c r="AE214" s="1"/>
      <c r="AF214" s="1">
        <v>41484.25</v>
      </c>
      <c r="AG214" s="1"/>
      <c r="AH214" s="1"/>
      <c r="AI214" s="1"/>
      <c r="AJ214" s="1"/>
      <c r="AK214" s="1"/>
      <c r="AL214" s="1"/>
      <c r="AM214" s="1"/>
      <c r="AN214" s="1"/>
      <c r="AO214" s="1"/>
      <c r="AP214" s="1"/>
      <c r="AQ214" s="1"/>
      <c r="AR214" s="1"/>
      <c r="AS214" s="1">
        <v>41631.25</v>
      </c>
      <c r="AT214" s="1"/>
      <c r="AU214" s="1"/>
      <c r="AV214" s="1">
        <v>41674.25</v>
      </c>
      <c r="AW214" s="1"/>
      <c r="AX214" s="1"/>
      <c r="AY214" s="1"/>
      <c r="AZ214" s="1"/>
      <c r="BA214" s="1"/>
      <c r="BB214" s="1"/>
      <c r="BC214" s="1"/>
      <c r="BD214" s="1"/>
      <c r="BE214" s="1"/>
      <c r="BF214" s="1"/>
      <c r="BG214" s="1"/>
      <c r="BH214" s="1"/>
      <c r="BI214" s="1"/>
      <c r="BJ214" s="1"/>
      <c r="BK214" s="1"/>
      <c r="BL214" s="1"/>
      <c r="BM214" s="1"/>
      <c r="BN214" s="1"/>
      <c r="BO214" s="1"/>
      <c r="BP214" s="1">
        <v>41684.25</v>
      </c>
      <c r="BQ214" s="1"/>
      <c r="BR214" s="1"/>
      <c r="BS214" s="1"/>
      <c r="BT214" s="1"/>
      <c r="BU214" s="1"/>
      <c r="BV214" s="1"/>
      <c r="BW214" s="1"/>
      <c r="BX214" s="1"/>
      <c r="BY214" s="1">
        <v>41774.25</v>
      </c>
      <c r="BZ214" s="1"/>
      <c r="CA214" s="1"/>
      <c r="CB214" s="1"/>
      <c r="CC214" s="1"/>
      <c r="CD214" s="1"/>
      <c r="CE214" s="1"/>
      <c r="CF214" s="1"/>
      <c r="CG214" s="1"/>
      <c r="CH214" s="1"/>
      <c r="CI214" s="1"/>
      <c r="CJ214" s="1"/>
      <c r="CK214" s="1"/>
      <c r="CL214" s="1"/>
      <c r="CM214" s="1"/>
      <c r="CN214" s="1"/>
      <c r="CO214" s="1"/>
      <c r="CP214" s="1"/>
      <c r="CQ214" s="1"/>
      <c r="CR214" s="1">
        <v>41809.25</v>
      </c>
      <c r="CS214" s="1"/>
      <c r="CT214" s="1"/>
      <c r="CU214" s="1"/>
      <c r="CV214" s="1"/>
      <c r="CW214" s="1"/>
      <c r="CX214" s="1"/>
      <c r="CY214" s="1"/>
      <c r="CZ214" s="1"/>
      <c r="DA214" s="1"/>
      <c r="DB214" s="1"/>
      <c r="DC214" s="1"/>
      <c r="DD214" s="1">
        <v>42017.25</v>
      </c>
      <c r="DE214" s="1"/>
      <c r="DF214" s="1"/>
      <c r="DG214" s="1"/>
      <c r="DH214" s="1">
        <v>42044.25</v>
      </c>
      <c r="DI214" s="1"/>
      <c r="DJ214" s="1">
        <v>42016.25</v>
      </c>
      <c r="DK214" s="1"/>
      <c r="DL214" s="1">
        <v>42024.25</v>
      </c>
      <c r="DM214" s="1"/>
      <c r="DN214" s="1"/>
      <c r="DO214" s="1"/>
      <c r="DP214" s="1"/>
      <c r="DQ214" s="1"/>
      <c r="DR214" s="1"/>
      <c r="DS214" s="1"/>
      <c r="DT214" s="1"/>
      <c r="DU214" s="1"/>
      <c r="DV214" s="1"/>
      <c r="DW214" s="1"/>
      <c r="DX214" s="1"/>
      <c r="DY214" s="1">
        <v>42048.25</v>
      </c>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row>
    <row r="215" spans="1:216" x14ac:dyDescent="0.3">
      <c r="A215" s="3" t="str">
        <f>HYPERLINK("https://hpr-rps.hres.ca/reg-content/summary-basis-decision-detailTwo.php?lang=en&amp;linkID=SBD00216", "Fetzima")</f>
        <v>Fetzima</v>
      </c>
      <c r="B215" s="1" t="s">
        <v>610</v>
      </c>
      <c r="C215" s="1" t="s">
        <v>611</v>
      </c>
      <c r="D215" s="1" t="s">
        <v>612</v>
      </c>
      <c r="E215" s="1">
        <v>41372.25</v>
      </c>
      <c r="F215" s="1"/>
      <c r="G215" s="1"/>
      <c r="H215" s="1">
        <v>41499.25</v>
      </c>
      <c r="I215" s="1"/>
      <c r="J215" s="1"/>
      <c r="K215" s="1"/>
      <c r="L215" s="1"/>
      <c r="M215" s="1"/>
      <c r="N215" s="1"/>
      <c r="O215" s="1"/>
      <c r="P215" s="1"/>
      <c r="Q215" s="1"/>
      <c r="R215" s="1"/>
      <c r="S215" s="1"/>
      <c r="T215" s="1"/>
      <c r="U215" s="1"/>
      <c r="V215" s="1"/>
      <c r="W215" s="1"/>
      <c r="X215" s="1"/>
      <c r="Y215" s="1"/>
      <c r="Z215" s="1"/>
      <c r="AA215" s="1"/>
      <c r="AB215" s="1"/>
      <c r="AC215" s="1"/>
      <c r="AD215" s="1"/>
      <c r="AE215" s="1"/>
      <c r="AF215" s="1">
        <v>41546.25</v>
      </c>
      <c r="AG215" s="1"/>
      <c r="AH215" s="1"/>
      <c r="AI215" s="1"/>
      <c r="AJ215" s="1"/>
      <c r="AK215" s="1"/>
      <c r="AL215" s="1"/>
      <c r="AM215" s="1"/>
      <c r="AN215" s="1"/>
      <c r="AO215" s="1"/>
      <c r="AP215" s="1"/>
      <c r="AQ215" s="1"/>
      <c r="AR215" s="1">
        <v>41827.25</v>
      </c>
      <c r="AS215" s="1"/>
      <c r="AT215" s="1"/>
      <c r="AU215" s="1"/>
      <c r="AV215" s="1">
        <v>41837.25</v>
      </c>
      <c r="AW215" s="1"/>
      <c r="AX215" s="1">
        <v>41747.25</v>
      </c>
      <c r="AY215" s="1"/>
      <c r="AZ215" s="1">
        <v>41838.25</v>
      </c>
      <c r="BA215" s="1"/>
      <c r="BB215" s="1"/>
      <c r="BC215" s="1"/>
      <c r="BD215" s="1"/>
      <c r="BE215" s="1"/>
      <c r="BF215" s="1"/>
      <c r="BG215" s="1"/>
      <c r="BH215" s="1"/>
      <c r="BI215" s="1"/>
      <c r="BJ215" s="1"/>
      <c r="BK215" s="1"/>
      <c r="BL215" s="1"/>
      <c r="BM215" s="1"/>
      <c r="BN215" s="1"/>
      <c r="BO215" s="1"/>
      <c r="BP215" s="1"/>
      <c r="BQ215" s="1"/>
      <c r="BR215" s="1"/>
      <c r="BS215" s="1"/>
      <c r="BT215" s="1">
        <v>41842.25</v>
      </c>
      <c r="BU215" s="1"/>
      <c r="BV215" s="1"/>
      <c r="BW215" s="1"/>
      <c r="BX215" s="1"/>
      <c r="BY215" s="1">
        <v>41974.25</v>
      </c>
      <c r="BZ215" s="1"/>
      <c r="CA215" s="1"/>
      <c r="CB215" s="1"/>
      <c r="CC215" s="1"/>
      <c r="CD215" s="1"/>
      <c r="CE215" s="1"/>
      <c r="CF215" s="1"/>
      <c r="CG215" s="1"/>
      <c r="CH215" s="1"/>
      <c r="CI215" s="1"/>
      <c r="CJ215" s="1"/>
      <c r="CK215" s="1"/>
      <c r="CL215" s="1"/>
      <c r="CM215" s="1"/>
      <c r="CN215" s="1"/>
      <c r="CO215" s="1"/>
      <c r="CP215" s="1"/>
      <c r="CQ215" s="1"/>
      <c r="CR215" s="1">
        <v>41995.25</v>
      </c>
      <c r="CS215" s="1"/>
      <c r="CT215" s="1"/>
      <c r="CU215" s="1"/>
      <c r="CV215" s="1"/>
      <c r="CW215" s="1"/>
      <c r="CX215" s="1"/>
      <c r="CY215" s="1"/>
      <c r="CZ215" s="1"/>
      <c r="DA215" s="1"/>
      <c r="DB215" s="1"/>
      <c r="DC215" s="1"/>
      <c r="DD215" s="1"/>
      <c r="DE215" s="1"/>
      <c r="DF215" s="1"/>
      <c r="DG215" s="1"/>
      <c r="DH215" s="1">
        <v>42128.25</v>
      </c>
      <c r="DI215" s="1"/>
      <c r="DJ215" s="1">
        <v>42132.25</v>
      </c>
      <c r="DK215" s="1"/>
      <c r="DL215" s="1">
        <v>42131.25</v>
      </c>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row>
    <row r="216" spans="1:216" x14ac:dyDescent="0.3">
      <c r="A216" s="3" t="str">
        <f>HYPERLINK("https://hpr-rps.hres.ca/reg-content/summary-basis-decision-detailTwo.php?lang=en&amp;linkID=SBD00217", "Fibristal")</f>
        <v>Fibristal</v>
      </c>
      <c r="B216" s="1" t="s">
        <v>613</v>
      </c>
      <c r="C216" s="1" t="s">
        <v>614</v>
      </c>
      <c r="D216" s="1" t="s">
        <v>615</v>
      </c>
      <c r="E216" s="1">
        <v>40954.25</v>
      </c>
      <c r="F216" s="1"/>
      <c r="G216" s="1"/>
      <c r="H216" s="1">
        <v>41089.25</v>
      </c>
      <c r="I216" s="1"/>
      <c r="J216" s="1"/>
      <c r="K216" s="1"/>
      <c r="L216" s="1"/>
      <c r="M216" s="1"/>
      <c r="N216" s="1"/>
      <c r="O216" s="1"/>
      <c r="P216" s="1"/>
      <c r="Q216" s="1"/>
      <c r="R216" s="1"/>
      <c r="S216" s="1"/>
      <c r="T216" s="1"/>
      <c r="U216" s="1"/>
      <c r="V216" s="1"/>
      <c r="W216" s="1"/>
      <c r="X216" s="1"/>
      <c r="Y216" s="1"/>
      <c r="Z216" s="1">
        <v>41141.25</v>
      </c>
      <c r="AA216" s="1"/>
      <c r="AB216" s="1"/>
      <c r="AC216" s="1">
        <v>41145.25</v>
      </c>
      <c r="AD216" s="1"/>
      <c r="AE216" s="1"/>
      <c r="AF216" s="1">
        <v>41151.25</v>
      </c>
      <c r="AG216" s="1"/>
      <c r="AH216" s="1"/>
      <c r="AI216" s="1"/>
      <c r="AJ216" s="1"/>
      <c r="AK216" s="1"/>
      <c r="AL216" s="1"/>
      <c r="AM216" s="1"/>
      <c r="AN216" s="1"/>
      <c r="AO216" s="1"/>
      <c r="AP216" s="1"/>
      <c r="AQ216" s="1"/>
      <c r="AR216" s="1">
        <v>41432.25</v>
      </c>
      <c r="AS216" s="1"/>
      <c r="AT216" s="1"/>
      <c r="AU216" s="1"/>
      <c r="AV216" s="1">
        <v>41432.25</v>
      </c>
      <c r="AW216" s="1"/>
      <c r="AX216" s="1"/>
      <c r="AY216" s="1"/>
      <c r="AZ216" s="1">
        <v>41439.25</v>
      </c>
      <c r="BA216" s="1"/>
      <c r="BB216" s="1"/>
      <c r="BC216" s="1"/>
      <c r="BD216" s="1"/>
      <c r="BE216" s="1"/>
      <c r="BF216" s="1"/>
      <c r="BG216" s="1"/>
      <c r="BH216" s="1"/>
      <c r="BI216" s="1"/>
      <c r="BJ216" s="1"/>
      <c r="BK216" s="1"/>
      <c r="BL216" s="1"/>
      <c r="BM216" s="1">
        <v>41449.25</v>
      </c>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row>
    <row r="217" spans="1:216" x14ac:dyDescent="0.3">
      <c r="A217" s="3" t="str">
        <f>HYPERLINK("https://hpr-rps.hres.ca/reg-content/summary-basis-decision-detailTwo.php?lang=en&amp;linkID=SBD00218", "Firazyr")</f>
        <v>Firazyr</v>
      </c>
      <c r="B217" s="1" t="s">
        <v>616</v>
      </c>
      <c r="C217" s="1" t="s">
        <v>617</v>
      </c>
      <c r="D217" s="1" t="s">
        <v>618</v>
      </c>
      <c r="E217" s="1">
        <v>40829.25</v>
      </c>
      <c r="F217" s="1"/>
      <c r="G217" s="1"/>
      <c r="H217" s="1">
        <v>41338.25</v>
      </c>
      <c r="I217" s="1"/>
      <c r="J217" s="1"/>
      <c r="K217" s="1"/>
      <c r="L217" s="1"/>
      <c r="M217" s="1"/>
      <c r="N217" s="1"/>
      <c r="O217" s="1"/>
      <c r="P217" s="1"/>
      <c r="Q217" s="1"/>
      <c r="R217" s="1"/>
      <c r="S217" s="1"/>
      <c r="T217" s="1"/>
      <c r="U217" s="1"/>
      <c r="V217" s="1"/>
      <c r="W217" s="1"/>
      <c r="X217" s="1"/>
      <c r="Y217" s="1"/>
      <c r="Z217" s="1">
        <v>41404.25</v>
      </c>
      <c r="AA217" s="1"/>
      <c r="AB217" s="1"/>
      <c r="AC217" s="1">
        <v>41449.25</v>
      </c>
      <c r="AD217" s="1"/>
      <c r="AE217" s="1"/>
      <c r="AF217" s="1">
        <v>41494.25</v>
      </c>
      <c r="AG217" s="1"/>
      <c r="AH217" s="1"/>
      <c r="AI217" s="1"/>
      <c r="AJ217" s="1"/>
      <c r="AK217" s="1"/>
      <c r="AL217" s="1"/>
      <c r="AM217" s="1"/>
      <c r="AN217" s="1"/>
      <c r="AO217" s="1"/>
      <c r="AP217" s="1"/>
      <c r="AQ217" s="1"/>
      <c r="AR217" s="1">
        <v>41793.25</v>
      </c>
      <c r="AS217" s="1"/>
      <c r="AT217" s="1"/>
      <c r="AU217" s="1"/>
      <c r="AV217" s="1">
        <v>41779.25</v>
      </c>
      <c r="AW217" s="1"/>
      <c r="AX217" s="1">
        <v>41732.25</v>
      </c>
      <c r="AY217" s="1"/>
      <c r="AZ217" s="1">
        <v>41793.25</v>
      </c>
      <c r="BA217" s="1"/>
      <c r="BB217" s="1"/>
      <c r="BC217" s="1"/>
      <c r="BD217" s="1"/>
      <c r="BE217" s="1"/>
      <c r="BF217" s="1"/>
      <c r="BG217" s="1"/>
      <c r="BH217" s="1"/>
      <c r="BI217" s="1"/>
      <c r="BJ217" s="1"/>
      <c r="BK217" s="1"/>
      <c r="BL217" s="1"/>
      <c r="BM217" s="1">
        <v>41794.25</v>
      </c>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row>
    <row r="218" spans="1:216" x14ac:dyDescent="0.3">
      <c r="A218" s="3" t="str">
        <f>HYPERLINK("https://hpr-rps.hres.ca/reg-content/summary-basis-decision-detailTwo.php?lang=en&amp;linkID=SBD00219", "Forxiga")</f>
        <v>Forxiga</v>
      </c>
      <c r="B218" s="1" t="s">
        <v>619</v>
      </c>
      <c r="C218" s="1" t="s">
        <v>137</v>
      </c>
      <c r="D218" s="1" t="s">
        <v>620</v>
      </c>
      <c r="E218" s="1">
        <v>40406.25</v>
      </c>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v>40619.208333333343</v>
      </c>
      <c r="AG218" s="1"/>
      <c r="AH218" s="1"/>
      <c r="AI218" s="1"/>
      <c r="AJ218" s="1"/>
      <c r="AK218" s="1"/>
      <c r="AL218" s="1"/>
      <c r="AM218" s="1"/>
      <c r="AN218" s="1"/>
      <c r="AO218" s="1"/>
      <c r="AP218" s="1"/>
      <c r="AQ218" s="1"/>
      <c r="AR218" s="1"/>
      <c r="AS218" s="1"/>
      <c r="AT218" s="1"/>
      <c r="AU218" s="1"/>
      <c r="AV218" s="1"/>
      <c r="AW218" s="1"/>
      <c r="AX218" s="1"/>
      <c r="AY218" s="1"/>
      <c r="AZ218" s="1">
        <v>40919.25</v>
      </c>
      <c r="BA218" s="1"/>
      <c r="BB218" s="1"/>
      <c r="BC218" s="1"/>
      <c r="BD218" s="1"/>
      <c r="BE218" s="1"/>
      <c r="BF218" s="1"/>
      <c r="BG218" s="1"/>
      <c r="BH218" s="1"/>
      <c r="BI218" s="1"/>
      <c r="BJ218" s="1"/>
      <c r="BK218" s="1"/>
      <c r="BL218" s="1"/>
      <c r="BM218" s="1"/>
      <c r="BN218" s="1"/>
      <c r="BO218" s="1"/>
      <c r="BP218" s="1"/>
      <c r="BQ218" s="1"/>
      <c r="BR218" s="1"/>
      <c r="BS218" s="1"/>
      <c r="BT218" s="1">
        <v>40919.25</v>
      </c>
      <c r="BU218" s="1"/>
      <c r="BV218" s="1"/>
      <c r="BW218" s="1"/>
      <c r="BX218" s="1"/>
      <c r="BY218" s="1"/>
      <c r="BZ218" s="1"/>
      <c r="CA218" s="1"/>
      <c r="CB218" s="1"/>
      <c r="CC218" s="1"/>
      <c r="CD218" s="1"/>
      <c r="CE218" s="1"/>
      <c r="CF218" s="1">
        <v>41003.25</v>
      </c>
      <c r="CG218" s="1"/>
      <c r="CH218" s="1"/>
      <c r="CI218" s="1"/>
      <c r="CJ218" s="1"/>
      <c r="CK218" s="1"/>
      <c r="CL218" s="1"/>
      <c r="CM218" s="1"/>
      <c r="CN218" s="1"/>
      <c r="CO218" s="1"/>
      <c r="CP218" s="1"/>
      <c r="CQ218" s="1"/>
      <c r="CR218" s="1">
        <v>41304.25</v>
      </c>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v>41544.25</v>
      </c>
      <c r="EC218" s="1"/>
      <c r="ED218" s="1"/>
      <c r="EE218" s="1"/>
      <c r="EF218" s="1"/>
      <c r="EG218" s="1">
        <v>41632.25</v>
      </c>
      <c r="EH218" s="1"/>
      <c r="EI218" s="1"/>
      <c r="EJ218" s="1"/>
      <c r="EK218" s="1"/>
      <c r="EL218" s="1"/>
      <c r="EM218" s="1"/>
      <c r="EN218" s="1"/>
      <c r="EO218" s="1"/>
      <c r="EP218" s="1"/>
      <c r="EQ218" s="1"/>
      <c r="ER218" s="1"/>
      <c r="ES218" s="1"/>
      <c r="ET218" s="1"/>
      <c r="EU218" s="1"/>
      <c r="EV218" s="1"/>
      <c r="EW218" s="1"/>
      <c r="EX218" s="1"/>
      <c r="EY218" s="1"/>
      <c r="EZ218" s="1"/>
      <c r="FA218" s="1"/>
      <c r="FB218" s="1"/>
      <c r="FC218" s="1"/>
      <c r="FD218" s="1">
        <v>41687.25</v>
      </c>
      <c r="FE218" s="1"/>
      <c r="FF218" s="1"/>
      <c r="FG218" s="1"/>
      <c r="FH218" s="1"/>
      <c r="FI218" s="1"/>
      <c r="FJ218" s="1"/>
      <c r="FK218" s="1"/>
      <c r="FL218" s="1"/>
      <c r="FM218" s="1"/>
      <c r="FN218" s="1"/>
      <c r="FO218" s="1"/>
      <c r="FP218" s="1">
        <v>41985.25</v>
      </c>
      <c r="FQ218" s="1"/>
      <c r="FR218" s="1"/>
      <c r="FS218" s="1"/>
      <c r="FT218" s="1">
        <v>41964.25</v>
      </c>
      <c r="FU218" s="1"/>
      <c r="FV218" s="1"/>
      <c r="FW218" s="1"/>
      <c r="FX218" s="1">
        <v>41985.25</v>
      </c>
      <c r="FY218" s="1"/>
      <c r="FZ218" s="1"/>
      <c r="GA218" s="1"/>
      <c r="GB218" s="1"/>
      <c r="GC218" s="1"/>
      <c r="GD218" s="1"/>
      <c r="GE218" s="1"/>
      <c r="GF218" s="1"/>
      <c r="GG218" s="1"/>
      <c r="GH218" s="1"/>
      <c r="GI218" s="1"/>
      <c r="GJ218" s="1"/>
      <c r="GK218" s="1">
        <v>41985.25</v>
      </c>
      <c r="GL218" s="1"/>
      <c r="GM218" s="1"/>
      <c r="GN218" s="1"/>
      <c r="GO218" s="1"/>
      <c r="GP218" s="1"/>
      <c r="GQ218" s="1"/>
      <c r="GR218" s="1"/>
      <c r="GS218" s="1"/>
      <c r="GT218" s="1"/>
      <c r="GU218" s="1"/>
      <c r="GV218" s="1"/>
      <c r="GW218" s="1"/>
      <c r="GX218" s="1"/>
      <c r="GY218" s="1"/>
      <c r="GZ218" s="1"/>
      <c r="HA218" s="1"/>
      <c r="HB218" s="1"/>
      <c r="HC218" s="1"/>
      <c r="HD218" s="1"/>
      <c r="HE218" s="1"/>
      <c r="HF218" s="1"/>
      <c r="HG218" s="1"/>
      <c r="HH218" s="1"/>
    </row>
    <row r="219" spans="1:216" x14ac:dyDescent="0.3">
      <c r="A219" s="3" t="str">
        <f>HYPERLINK("https://hpr-rps.hres.ca/reg-content/summary-basis-decision-detailTwo.php?lang=en&amp;linkID=SBD00220", "Fycompa")</f>
        <v>Fycompa</v>
      </c>
      <c r="B219" s="1" t="s">
        <v>621</v>
      </c>
      <c r="C219" s="1" t="s">
        <v>90</v>
      </c>
      <c r="D219" s="1" t="s">
        <v>622</v>
      </c>
      <c r="E219" s="1">
        <v>40730.25</v>
      </c>
      <c r="F219" s="1"/>
      <c r="G219" s="1"/>
      <c r="H219" s="1">
        <v>40968.25</v>
      </c>
      <c r="I219" s="1"/>
      <c r="J219" s="1"/>
      <c r="K219" s="1"/>
      <c r="L219" s="1"/>
      <c r="M219" s="1"/>
      <c r="N219" s="1"/>
      <c r="O219" s="1"/>
      <c r="P219" s="1"/>
      <c r="Q219" s="1"/>
      <c r="R219" s="1"/>
      <c r="S219" s="1"/>
      <c r="T219" s="1"/>
      <c r="U219" s="1"/>
      <c r="V219" s="1"/>
      <c r="W219" s="1"/>
      <c r="X219" s="1"/>
      <c r="Y219" s="1"/>
      <c r="Z219" s="1"/>
      <c r="AA219" s="1"/>
      <c r="AB219" s="1"/>
      <c r="AC219" s="1"/>
      <c r="AD219" s="1"/>
      <c r="AE219" s="1"/>
      <c r="AF219" s="1">
        <v>41068.25</v>
      </c>
      <c r="AG219" s="1"/>
      <c r="AH219" s="1"/>
      <c r="AI219" s="1"/>
      <c r="AJ219" s="1"/>
      <c r="AK219" s="1"/>
      <c r="AL219" s="1"/>
      <c r="AM219" s="1"/>
      <c r="AN219" s="1"/>
      <c r="AO219" s="1"/>
      <c r="AP219" s="1"/>
      <c r="AQ219" s="1"/>
      <c r="AR219" s="1">
        <v>41353.208333333343</v>
      </c>
      <c r="AS219" s="1">
        <v>41303.25</v>
      </c>
      <c r="AT219" s="1"/>
      <c r="AU219" s="1"/>
      <c r="AV219" s="1">
        <v>41351.208333333343</v>
      </c>
      <c r="AW219" s="1"/>
      <c r="AX219" s="1"/>
      <c r="AY219" s="1"/>
      <c r="AZ219" s="1">
        <v>41367.25</v>
      </c>
      <c r="BA219" s="1"/>
      <c r="BB219" s="1"/>
      <c r="BC219" s="1"/>
      <c r="BD219" s="1"/>
      <c r="BE219" s="1"/>
      <c r="BF219" s="1"/>
      <c r="BG219" s="1"/>
      <c r="BH219" s="1"/>
      <c r="BI219" s="1"/>
      <c r="BJ219" s="1"/>
      <c r="BK219" s="1"/>
      <c r="BL219" s="1"/>
      <c r="BM219" s="1">
        <v>41368.25</v>
      </c>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row>
    <row r="220" spans="1:216" x14ac:dyDescent="0.3">
      <c r="A220" s="3" t="str">
        <f>HYPERLINK("https://hpr-rps.hres.ca/reg-content/summary-basis-decision-detailTwo.php?lang=en&amp;linkID=SBD00221", "Galexos")</f>
        <v>Galexos</v>
      </c>
      <c r="B220" s="1" t="s">
        <v>623</v>
      </c>
      <c r="C220" s="1" t="s">
        <v>201</v>
      </c>
      <c r="D220" s="1" t="s">
        <v>624</v>
      </c>
      <c r="E220" s="1">
        <v>41320.25</v>
      </c>
      <c r="F220" s="1"/>
      <c r="G220" s="1"/>
      <c r="H220" s="1"/>
      <c r="I220" s="1"/>
      <c r="J220" s="1"/>
      <c r="K220" s="1"/>
      <c r="L220" s="1"/>
      <c r="M220" s="1"/>
      <c r="N220" s="1">
        <v>41341.25</v>
      </c>
      <c r="O220" s="1"/>
      <c r="P220" s="1"/>
      <c r="Q220" s="1"/>
      <c r="R220" s="1"/>
      <c r="S220" s="1">
        <v>41375.25</v>
      </c>
      <c r="T220" s="1"/>
      <c r="U220" s="1"/>
      <c r="V220" s="1">
        <v>41379.25</v>
      </c>
      <c r="W220" s="1"/>
      <c r="X220" s="1"/>
      <c r="Y220" s="1"/>
      <c r="Z220" s="1"/>
      <c r="AA220" s="1"/>
      <c r="AB220" s="1"/>
      <c r="AC220" s="1"/>
      <c r="AD220" s="1"/>
      <c r="AE220" s="1"/>
      <c r="AF220" s="1">
        <v>41416.25</v>
      </c>
      <c r="AG220" s="1"/>
      <c r="AH220" s="1"/>
      <c r="AI220" s="1"/>
      <c r="AJ220" s="1"/>
      <c r="AK220" s="1"/>
      <c r="AL220" s="1"/>
      <c r="AM220" s="1"/>
      <c r="AN220" s="1"/>
      <c r="AO220" s="1"/>
      <c r="AP220" s="1"/>
      <c r="AQ220" s="1"/>
      <c r="AR220" s="1">
        <v>41593.25</v>
      </c>
      <c r="AS220" s="1">
        <v>41530.25</v>
      </c>
      <c r="AT220" s="1"/>
      <c r="AU220" s="1"/>
      <c r="AV220" s="1">
        <v>41586.25</v>
      </c>
      <c r="AW220" s="1"/>
      <c r="AX220" s="1"/>
      <c r="AY220" s="1"/>
      <c r="AZ220" s="1">
        <v>41593.25</v>
      </c>
      <c r="BA220" s="1"/>
      <c r="BB220" s="1"/>
      <c r="BC220" s="1"/>
      <c r="BD220" s="1"/>
      <c r="BE220" s="1"/>
      <c r="BF220" s="1"/>
      <c r="BG220" s="1"/>
      <c r="BH220" s="1"/>
      <c r="BI220" s="1"/>
      <c r="BJ220" s="1"/>
      <c r="BK220" s="1"/>
      <c r="BL220" s="1"/>
      <c r="BM220" s="1">
        <v>41596.25</v>
      </c>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row>
    <row r="221" spans="1:216" x14ac:dyDescent="0.3">
      <c r="A221" s="3" t="str">
        <f>HYPERLINK("https://hpr-rps.hres.ca/reg-content/summary-basis-decision-detailTwo.php?lang=en&amp;linkID=SBD00222", "Gardasil 9")</f>
        <v>Gardasil 9</v>
      </c>
      <c r="B221" s="1" t="s">
        <v>625</v>
      </c>
      <c r="C221" s="1" t="s">
        <v>415</v>
      </c>
      <c r="D221" s="1" t="s">
        <v>626</v>
      </c>
      <c r="E221" s="1">
        <v>40892.25</v>
      </c>
      <c r="F221" s="1"/>
      <c r="G221" s="1"/>
      <c r="H221" s="1">
        <v>41698.25</v>
      </c>
      <c r="I221" s="1"/>
      <c r="J221" s="1"/>
      <c r="K221" s="1"/>
      <c r="L221" s="1"/>
      <c r="M221" s="1"/>
      <c r="N221" s="1"/>
      <c r="O221" s="1"/>
      <c r="P221" s="1"/>
      <c r="Q221" s="1"/>
      <c r="R221" s="1"/>
      <c r="S221" s="1"/>
      <c r="T221" s="1"/>
      <c r="U221" s="1"/>
      <c r="V221" s="1"/>
      <c r="W221" s="1"/>
      <c r="X221" s="1"/>
      <c r="Y221" s="1"/>
      <c r="Z221" s="1"/>
      <c r="AA221" s="1"/>
      <c r="AB221" s="1"/>
      <c r="AC221" s="1"/>
      <c r="AD221" s="1"/>
      <c r="AE221" s="1"/>
      <c r="AF221" s="1">
        <v>41740.25</v>
      </c>
      <c r="AG221" s="1"/>
      <c r="AH221" s="1"/>
      <c r="AI221" s="1"/>
      <c r="AJ221" s="1"/>
      <c r="AK221" s="1"/>
      <c r="AL221" s="1"/>
      <c r="AM221" s="1"/>
      <c r="AN221" s="1"/>
      <c r="AO221" s="1"/>
      <c r="AP221" s="1"/>
      <c r="AQ221" s="1"/>
      <c r="AR221" s="1">
        <v>42031.25</v>
      </c>
      <c r="AS221" s="1"/>
      <c r="AT221" s="1"/>
      <c r="AU221" s="1"/>
      <c r="AV221" s="1">
        <v>42034.25</v>
      </c>
      <c r="AW221" s="1"/>
      <c r="AX221" s="1"/>
      <c r="AY221" s="1"/>
      <c r="AZ221" s="1">
        <v>42038.25</v>
      </c>
      <c r="BA221" s="1"/>
      <c r="BB221" s="1"/>
      <c r="BC221" s="1"/>
      <c r="BD221" s="1"/>
      <c r="BE221" s="1"/>
      <c r="BF221" s="1"/>
      <c r="BG221" s="1"/>
      <c r="BH221" s="1"/>
      <c r="BI221" s="1"/>
      <c r="BJ221" s="1"/>
      <c r="BK221" s="1"/>
      <c r="BL221" s="1"/>
      <c r="BM221" s="1">
        <v>42040.25</v>
      </c>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row>
    <row r="222" spans="1:216" x14ac:dyDescent="0.3">
      <c r="A222" s="3" t="str">
        <f>HYPERLINK("https://hpr-rps.hres.ca/reg-content/summary-basis-decision-detailTwo.php?lang=en&amp;linkID=SBD00223", "Gazyva")</f>
        <v>Gazyva</v>
      </c>
      <c r="B222" s="1" t="s">
        <v>627</v>
      </c>
      <c r="C222" s="1" t="s">
        <v>84</v>
      </c>
      <c r="D222" s="1" t="s">
        <v>628</v>
      </c>
      <c r="E222" s="1">
        <v>41430.25</v>
      </c>
      <c r="F222" s="1"/>
      <c r="G222" s="1"/>
      <c r="H222" s="1">
        <v>41563.25</v>
      </c>
      <c r="I222" s="1"/>
      <c r="J222" s="1"/>
      <c r="K222" s="1"/>
      <c r="L222" s="1"/>
      <c r="M222" s="1"/>
      <c r="N222" s="1"/>
      <c r="O222" s="1"/>
      <c r="P222" s="1"/>
      <c r="Q222" s="1"/>
      <c r="R222" s="1"/>
      <c r="S222" s="1"/>
      <c r="T222" s="1"/>
      <c r="U222" s="1"/>
      <c r="V222" s="1"/>
      <c r="W222" s="1"/>
      <c r="X222" s="1"/>
      <c r="Y222" s="1"/>
      <c r="Z222" s="1">
        <v>41607.25</v>
      </c>
      <c r="AA222" s="1"/>
      <c r="AB222" s="1"/>
      <c r="AC222" s="1">
        <v>41632.25</v>
      </c>
      <c r="AD222" s="1"/>
      <c r="AE222" s="1"/>
      <c r="AF222" s="1">
        <v>41668.25</v>
      </c>
      <c r="AG222" s="1"/>
      <c r="AH222" s="1"/>
      <c r="AI222" s="1"/>
      <c r="AJ222" s="1"/>
      <c r="AK222" s="1"/>
      <c r="AL222" s="1"/>
      <c r="AM222" s="1"/>
      <c r="AN222" s="1"/>
      <c r="AO222" s="1"/>
      <c r="AP222" s="1"/>
      <c r="AQ222" s="1"/>
      <c r="AR222" s="1">
        <v>41962.25</v>
      </c>
      <c r="AS222" s="1"/>
      <c r="AT222" s="1"/>
      <c r="AU222" s="1"/>
      <c r="AV222" s="1">
        <v>41968.25</v>
      </c>
      <c r="AW222" s="1"/>
      <c r="AX222" s="1"/>
      <c r="AY222" s="1"/>
      <c r="AZ222" s="1">
        <v>41949.25</v>
      </c>
      <c r="BA222" s="1"/>
      <c r="BB222" s="1"/>
      <c r="BC222" s="1"/>
      <c r="BD222" s="1"/>
      <c r="BE222" s="1"/>
      <c r="BF222" s="1"/>
      <c r="BG222" s="1"/>
      <c r="BH222" s="1"/>
      <c r="BI222" s="1"/>
      <c r="BJ222" s="1"/>
      <c r="BK222" s="1"/>
      <c r="BL222" s="1"/>
      <c r="BM222" s="1">
        <v>41968.25</v>
      </c>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row>
    <row r="223" spans="1:216" x14ac:dyDescent="0.3">
      <c r="A223" s="3" t="str">
        <f>HYPERLINK("https://hpr-rps.hres.ca/reg-content/summary-basis-decision-detailTwo.php?lang=en&amp;linkID=SBD00224", "Juxtapid")</f>
        <v>Juxtapid</v>
      </c>
      <c r="B223" s="1" t="s">
        <v>629</v>
      </c>
      <c r="C223" s="1" t="s">
        <v>630</v>
      </c>
      <c r="D223" s="1" t="s">
        <v>631</v>
      </c>
      <c r="E223" s="1"/>
      <c r="F223" s="1"/>
      <c r="G223" s="1"/>
      <c r="H223" s="1">
        <v>41234.25</v>
      </c>
      <c r="I223" s="1"/>
      <c r="J223" s="1"/>
      <c r="K223" s="1"/>
      <c r="L223" s="1"/>
      <c r="M223" s="1"/>
      <c r="N223" s="1"/>
      <c r="O223" s="1"/>
      <c r="P223" s="1"/>
      <c r="Q223" s="1"/>
      <c r="R223" s="1"/>
      <c r="S223" s="1"/>
      <c r="T223" s="1"/>
      <c r="U223" s="1"/>
      <c r="V223" s="1"/>
      <c r="W223" s="1"/>
      <c r="X223" s="1"/>
      <c r="Y223" s="1"/>
      <c r="Z223" s="1">
        <v>41292.25</v>
      </c>
      <c r="AA223" s="1"/>
      <c r="AB223" s="1"/>
      <c r="AC223" s="1">
        <v>41333.25</v>
      </c>
      <c r="AD223" s="1"/>
      <c r="AE223" s="1"/>
      <c r="AF223" s="1">
        <v>41376.25</v>
      </c>
      <c r="AG223" s="1"/>
      <c r="AH223" s="1"/>
      <c r="AI223" s="1"/>
      <c r="AJ223" s="1"/>
      <c r="AK223" s="1"/>
      <c r="AL223" s="1"/>
      <c r="AM223" s="1"/>
      <c r="AN223" s="1"/>
      <c r="AO223" s="1"/>
      <c r="AP223" s="1"/>
      <c r="AQ223" s="1"/>
      <c r="AR223" s="1">
        <v>41663.25</v>
      </c>
      <c r="AS223" s="1">
        <v>41585.25</v>
      </c>
      <c r="AT223" s="1"/>
      <c r="AU223" s="1"/>
      <c r="AV223" s="1">
        <v>41666.25</v>
      </c>
      <c r="AW223" s="1"/>
      <c r="AX223" s="1"/>
      <c r="AY223" s="1"/>
      <c r="AZ223" s="1">
        <v>41624.25</v>
      </c>
      <c r="BA223" s="1"/>
      <c r="BB223" s="1"/>
      <c r="BC223" s="1"/>
      <c r="BD223" s="1"/>
      <c r="BE223" s="1"/>
      <c r="BF223" s="1"/>
      <c r="BG223" s="1"/>
      <c r="BH223" s="1"/>
      <c r="BI223" s="1"/>
      <c r="BJ223" s="1"/>
      <c r="BK223" s="1"/>
      <c r="BL223" s="1"/>
      <c r="BM223" s="1">
        <v>41674.25</v>
      </c>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row>
    <row r="224" spans="1:216" x14ac:dyDescent="0.3">
      <c r="A224" s="3" t="str">
        <f>HYPERLINK("https://hpr-rps.hres.ca/reg-content/summary-basis-decision-detailTwo.php?lang=en&amp;linkID=SBD00225", "Kadcyla")</f>
        <v>Kadcyla</v>
      </c>
      <c r="B224" s="1" t="s">
        <v>632</v>
      </c>
      <c r="C224" s="1" t="s">
        <v>84</v>
      </c>
      <c r="D224" s="1" t="s">
        <v>633</v>
      </c>
      <c r="E224" s="1">
        <v>41226.25</v>
      </c>
      <c r="F224" s="1"/>
      <c r="G224" s="1"/>
      <c r="H224" s="1"/>
      <c r="I224" s="1"/>
      <c r="J224" s="1"/>
      <c r="K224" s="1"/>
      <c r="L224" s="1"/>
      <c r="M224" s="1"/>
      <c r="N224" s="1">
        <v>41228.25</v>
      </c>
      <c r="O224" s="1"/>
      <c r="P224" s="1"/>
      <c r="Q224" s="1"/>
      <c r="R224" s="1"/>
      <c r="S224" s="1">
        <v>41256.25</v>
      </c>
      <c r="T224" s="1"/>
      <c r="U224" s="1"/>
      <c r="V224" s="1">
        <v>41313.25</v>
      </c>
      <c r="W224" s="1"/>
      <c r="X224" s="1"/>
      <c r="Y224" s="1"/>
      <c r="Z224" s="1"/>
      <c r="AA224" s="1"/>
      <c r="AB224" s="1"/>
      <c r="AC224" s="1"/>
      <c r="AD224" s="1"/>
      <c r="AE224" s="1"/>
      <c r="AF224" s="1">
        <v>41348.208333333343</v>
      </c>
      <c r="AG224" s="1"/>
      <c r="AH224" s="1"/>
      <c r="AI224" s="1"/>
      <c r="AJ224" s="1"/>
      <c r="AK224" s="1"/>
      <c r="AL224" s="1"/>
      <c r="AM224" s="1"/>
      <c r="AN224" s="1"/>
      <c r="AO224" s="1"/>
      <c r="AP224" s="1"/>
      <c r="AQ224" s="1"/>
      <c r="AR224" s="1">
        <v>41528.25</v>
      </c>
      <c r="AS224" s="1">
        <v>41528.25</v>
      </c>
      <c r="AT224" s="1"/>
      <c r="AU224" s="1"/>
      <c r="AV224" s="1">
        <v>41528.25</v>
      </c>
      <c r="AW224" s="1"/>
      <c r="AX224" s="1">
        <v>41528.25</v>
      </c>
      <c r="AY224" s="1"/>
      <c r="AZ224" s="1">
        <v>41528.25</v>
      </c>
      <c r="BA224" s="1"/>
      <c r="BB224" s="1"/>
      <c r="BC224" s="1"/>
      <c r="BD224" s="1"/>
      <c r="BE224" s="1"/>
      <c r="BF224" s="1"/>
      <c r="BG224" s="1"/>
      <c r="BH224" s="1"/>
      <c r="BI224" s="1"/>
      <c r="BJ224" s="1"/>
      <c r="BK224" s="1"/>
      <c r="BL224" s="1"/>
      <c r="BM224" s="1">
        <v>41518.25</v>
      </c>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row>
    <row r="225" spans="1:216" x14ac:dyDescent="0.3">
      <c r="A225" s="3" t="str">
        <f>HYPERLINK("https://hpr-rps.hres.ca/reg-content/summary-basis-decision-detailTwo.php?lang=en&amp;linkID=SBD00226", "Kalydeco")</f>
        <v>Kalydeco</v>
      </c>
      <c r="B225" s="1" t="s">
        <v>634</v>
      </c>
      <c r="C225" s="1" t="s">
        <v>232</v>
      </c>
      <c r="D225" s="1" t="s">
        <v>635</v>
      </c>
      <c r="E225" s="1">
        <v>40878.25</v>
      </c>
      <c r="F225" s="1"/>
      <c r="G225" s="1"/>
      <c r="H225" s="1"/>
      <c r="I225" s="1"/>
      <c r="J225" s="1"/>
      <c r="K225" s="1"/>
      <c r="L225" s="1"/>
      <c r="M225" s="1"/>
      <c r="N225" s="1">
        <v>40962.25</v>
      </c>
      <c r="O225" s="1"/>
      <c r="P225" s="1"/>
      <c r="Q225" s="1"/>
      <c r="R225" s="1"/>
      <c r="S225" s="1">
        <v>40990.208333333343</v>
      </c>
      <c r="T225" s="1"/>
      <c r="U225" s="1"/>
      <c r="V225" s="1">
        <v>41029.25</v>
      </c>
      <c r="W225" s="1"/>
      <c r="X225" s="1"/>
      <c r="Y225" s="1"/>
      <c r="Z225" s="1"/>
      <c r="AA225" s="1"/>
      <c r="AB225" s="1"/>
      <c r="AC225" s="1"/>
      <c r="AD225" s="1"/>
      <c r="AE225" s="1"/>
      <c r="AF225" s="1">
        <v>41060.25</v>
      </c>
      <c r="AG225" s="1"/>
      <c r="AH225" s="1"/>
      <c r="AI225" s="1"/>
      <c r="AJ225" s="1"/>
      <c r="AK225" s="1"/>
      <c r="AL225" s="1"/>
      <c r="AM225" s="1"/>
      <c r="AN225" s="1"/>
      <c r="AO225" s="1"/>
      <c r="AP225" s="1"/>
      <c r="AQ225" s="1"/>
      <c r="AR225" s="1">
        <v>41229.25</v>
      </c>
      <c r="AS225" s="1">
        <v>41151.25</v>
      </c>
      <c r="AT225" s="1"/>
      <c r="AU225" s="1"/>
      <c r="AV225" s="1">
        <v>41232.25</v>
      </c>
      <c r="AW225" s="1"/>
      <c r="AX225" s="1"/>
      <c r="AY225" s="1"/>
      <c r="AZ225" s="1">
        <v>41236.25</v>
      </c>
      <c r="BA225" s="1"/>
      <c r="BB225" s="1"/>
      <c r="BC225" s="1"/>
      <c r="BD225" s="1"/>
      <c r="BE225" s="1"/>
      <c r="BF225" s="1"/>
      <c r="BG225" s="1"/>
      <c r="BH225" s="1"/>
      <c r="BI225" s="1"/>
      <c r="BJ225" s="1"/>
      <c r="BK225" s="1"/>
      <c r="BL225" s="1"/>
      <c r="BM225" s="1">
        <v>41239.25</v>
      </c>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row>
    <row r="226" spans="1:216" x14ac:dyDescent="0.3">
      <c r="A226" s="3" t="str">
        <f>HYPERLINK("https://hpr-rps.hres.ca/reg-content/summary-basis-decision-detailTwo.php?lang=en&amp;linkID=SBD00227", "Keytruda")</f>
        <v>Keytruda</v>
      </c>
      <c r="B226" s="1" t="s">
        <v>636</v>
      </c>
      <c r="C226" s="1" t="s">
        <v>415</v>
      </c>
      <c r="D226" s="1" t="s">
        <v>637</v>
      </c>
      <c r="E226" s="1">
        <v>41691.25</v>
      </c>
      <c r="F226" s="1">
        <v>41739.25</v>
      </c>
      <c r="G226" s="1">
        <v>41780.25</v>
      </c>
      <c r="H226" s="1">
        <v>41813.25</v>
      </c>
      <c r="I226" s="1"/>
      <c r="J226" s="1"/>
      <c r="K226" s="1"/>
      <c r="L226" s="1"/>
      <c r="M226" s="1"/>
      <c r="N226" s="1"/>
      <c r="O226" s="1"/>
      <c r="P226" s="1"/>
      <c r="Q226" s="1"/>
      <c r="R226" s="1"/>
      <c r="S226" s="1"/>
      <c r="T226" s="1"/>
      <c r="U226" s="1"/>
      <c r="V226" s="1"/>
      <c r="W226" s="1"/>
      <c r="X226" s="1"/>
      <c r="Y226" s="1"/>
      <c r="Z226" s="1">
        <v>41851.25</v>
      </c>
      <c r="AA226" s="1"/>
      <c r="AB226" s="1"/>
      <c r="AC226" s="1">
        <v>41873.25</v>
      </c>
      <c r="AD226" s="1"/>
      <c r="AE226" s="1"/>
      <c r="AF226" s="1">
        <v>41905.25</v>
      </c>
      <c r="AG226" s="1"/>
      <c r="AH226" s="1"/>
      <c r="AI226" s="1"/>
      <c r="AJ226" s="1"/>
      <c r="AK226" s="1"/>
      <c r="AL226" s="1"/>
      <c r="AM226" s="1"/>
      <c r="AN226" s="1"/>
      <c r="AO226" s="1"/>
      <c r="AP226" s="1"/>
      <c r="AQ226" s="1"/>
      <c r="AR226" s="1">
        <v>42069.25</v>
      </c>
      <c r="AS226" s="1">
        <v>42090.208333333343</v>
      </c>
      <c r="AT226" s="1"/>
      <c r="AU226" s="1"/>
      <c r="AV226" s="1">
        <v>42104.25</v>
      </c>
      <c r="AW226" s="1"/>
      <c r="AX226" s="1">
        <v>42090.208333333343</v>
      </c>
      <c r="AY226" s="1"/>
      <c r="AZ226" s="1">
        <v>42090.208333333343</v>
      </c>
      <c r="BA226" s="1"/>
      <c r="BB226" s="1"/>
      <c r="BC226" s="1"/>
      <c r="BD226" s="1"/>
      <c r="BE226" s="1"/>
      <c r="BF226" s="1"/>
      <c r="BG226" s="1"/>
      <c r="BH226" s="1"/>
      <c r="BI226" s="1"/>
      <c r="BJ226" s="1">
        <v>42132.25</v>
      </c>
      <c r="BK226" s="1"/>
      <c r="BL226" s="1">
        <v>42104.25</v>
      </c>
      <c r="BM226" s="1">
        <v>42143.25</v>
      </c>
      <c r="BN226" s="1"/>
      <c r="BO226" s="1"/>
      <c r="BP226" s="1"/>
      <c r="BQ226" s="1"/>
      <c r="BR226" s="1"/>
      <c r="BS226" s="1"/>
      <c r="BT226" s="1"/>
      <c r="BU226" s="1"/>
      <c r="BV226" s="1"/>
      <c r="BW226" s="1"/>
      <c r="BX226" s="1"/>
      <c r="BY226" s="1">
        <v>42110.25</v>
      </c>
      <c r="BZ226" s="1"/>
      <c r="CA226" s="1"/>
      <c r="CB226" s="1"/>
      <c r="CC226" s="1">
        <v>42135.25</v>
      </c>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row>
    <row r="227" spans="1:216" x14ac:dyDescent="0.3">
      <c r="A227" s="3" t="str">
        <f>HYPERLINK("https://hpr-rps.hres.ca/reg-content/summary-basis-decision-detailTwo.php?lang=en&amp;linkID=SBD00228", "Mekinist")</f>
        <v>Mekinist</v>
      </c>
      <c r="B227" s="1" t="s">
        <v>638</v>
      </c>
      <c r="C227" s="1" t="s">
        <v>96</v>
      </c>
      <c r="D227" s="1" t="s">
        <v>639</v>
      </c>
      <c r="E227" s="1">
        <v>41046.25</v>
      </c>
      <c r="F227" s="1"/>
      <c r="G227" s="1"/>
      <c r="H227" s="1">
        <v>41124.25</v>
      </c>
      <c r="I227" s="1"/>
      <c r="J227" s="1"/>
      <c r="K227" s="1"/>
      <c r="L227" s="1"/>
      <c r="M227" s="1"/>
      <c r="N227" s="1"/>
      <c r="O227" s="1"/>
      <c r="P227" s="1"/>
      <c r="Q227" s="1"/>
      <c r="R227" s="1"/>
      <c r="S227" s="1"/>
      <c r="T227" s="1"/>
      <c r="U227" s="1"/>
      <c r="V227" s="1"/>
      <c r="W227" s="1"/>
      <c r="X227" s="1"/>
      <c r="Y227" s="1"/>
      <c r="Z227" s="1"/>
      <c r="AA227" s="1"/>
      <c r="AB227" s="1"/>
      <c r="AC227" s="1"/>
      <c r="AD227" s="1"/>
      <c r="AE227" s="1"/>
      <c r="AF227" s="1">
        <v>41173.25</v>
      </c>
      <c r="AG227" s="1"/>
      <c r="AH227" s="1"/>
      <c r="AI227" s="1"/>
      <c r="AJ227" s="1"/>
      <c r="AK227" s="1"/>
      <c r="AL227" s="1"/>
      <c r="AM227" s="1"/>
      <c r="AN227" s="1"/>
      <c r="AO227" s="1"/>
      <c r="AP227" s="1"/>
      <c r="AQ227" s="1"/>
      <c r="AR227" s="1">
        <v>41471.25</v>
      </c>
      <c r="AS227" s="1">
        <v>41374.25</v>
      </c>
      <c r="AT227" s="1"/>
      <c r="AU227" s="1"/>
      <c r="AV227" s="1">
        <v>41451.25</v>
      </c>
      <c r="AW227" s="1"/>
      <c r="AX227" s="1">
        <v>41386.25</v>
      </c>
      <c r="AY227" s="1"/>
      <c r="AZ227" s="1">
        <v>41473.25</v>
      </c>
      <c r="BA227" s="1"/>
      <c r="BB227" s="1"/>
      <c r="BC227" s="1"/>
      <c r="BD227" s="1"/>
      <c r="BE227" s="1"/>
      <c r="BF227" s="1"/>
      <c r="BG227" s="1"/>
      <c r="BH227" s="1"/>
      <c r="BI227" s="1"/>
      <c r="BJ227" s="1"/>
      <c r="BK227" s="1"/>
      <c r="BL227" s="1"/>
      <c r="BM227" s="1">
        <v>41473.25</v>
      </c>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row>
    <row r="228" spans="1:216" x14ac:dyDescent="0.3">
      <c r="A228" s="3" t="str">
        <f>HYPERLINK("https://hpr-rps.hres.ca/reg-content/summary-basis-decision-detailTwo.php?lang=en&amp;linkID=SBD00229", "Movantik")</f>
        <v>Movantik</v>
      </c>
      <c r="B228" s="1" t="s">
        <v>640</v>
      </c>
      <c r="C228" s="1" t="s">
        <v>137</v>
      </c>
      <c r="D228" s="1" t="s">
        <v>641</v>
      </c>
      <c r="E228" s="1">
        <v>41375.25</v>
      </c>
      <c r="F228" s="1"/>
      <c r="G228" s="1"/>
      <c r="H228" s="1">
        <v>41516.25</v>
      </c>
      <c r="I228" s="1"/>
      <c r="J228" s="1"/>
      <c r="K228" s="1"/>
      <c r="L228" s="1"/>
      <c r="M228" s="1"/>
      <c r="N228" s="1"/>
      <c r="O228" s="1"/>
      <c r="P228" s="1"/>
      <c r="Q228" s="1"/>
      <c r="R228" s="1"/>
      <c r="S228" s="1"/>
      <c r="T228" s="1"/>
      <c r="U228" s="1"/>
      <c r="V228" s="1"/>
      <c r="W228" s="1"/>
      <c r="X228" s="1"/>
      <c r="Y228" s="1"/>
      <c r="Z228" s="1"/>
      <c r="AA228" s="1"/>
      <c r="AB228" s="1"/>
      <c r="AC228" s="1"/>
      <c r="AD228" s="1"/>
      <c r="AE228" s="1"/>
      <c r="AF228" s="1">
        <v>41571.25</v>
      </c>
      <c r="AG228" s="1"/>
      <c r="AH228" s="1"/>
      <c r="AI228" s="1"/>
      <c r="AJ228" s="1"/>
      <c r="AK228" s="1"/>
      <c r="AL228" s="1"/>
      <c r="AM228" s="1"/>
      <c r="AN228" s="1"/>
      <c r="AO228" s="1"/>
      <c r="AP228" s="1"/>
      <c r="AQ228" s="1"/>
      <c r="AR228" s="1"/>
      <c r="AS228" s="1">
        <v>41830.25</v>
      </c>
      <c r="AT228" s="1"/>
      <c r="AU228" s="1"/>
      <c r="AV228" s="1">
        <v>41808.25</v>
      </c>
      <c r="AW228" s="1"/>
      <c r="AX228" s="1"/>
      <c r="AY228" s="1"/>
      <c r="AZ228" s="1">
        <v>41871.25</v>
      </c>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v>41961.25</v>
      </c>
      <c r="BZ228" s="1"/>
      <c r="CA228" s="1"/>
      <c r="CB228" s="1"/>
      <c r="CC228" s="1"/>
      <c r="CD228" s="1"/>
      <c r="CE228" s="1"/>
      <c r="CF228" s="1"/>
      <c r="CG228" s="1"/>
      <c r="CH228" s="1"/>
      <c r="CI228" s="1"/>
      <c r="CJ228" s="1"/>
      <c r="CK228" s="1"/>
      <c r="CL228" s="1"/>
      <c r="CM228" s="1"/>
      <c r="CN228" s="1"/>
      <c r="CO228" s="1"/>
      <c r="CP228" s="1"/>
      <c r="CQ228" s="1"/>
      <c r="CR228" s="1">
        <v>42006.25</v>
      </c>
      <c r="CS228" s="1"/>
      <c r="CT228" s="1"/>
      <c r="CU228" s="1"/>
      <c r="CV228" s="1"/>
      <c r="CW228" s="1"/>
      <c r="CX228" s="1"/>
      <c r="CY228" s="1"/>
      <c r="CZ228" s="1"/>
      <c r="DA228" s="1"/>
      <c r="DB228" s="1"/>
      <c r="DC228" s="1"/>
      <c r="DD228" s="1">
        <v>42153.25</v>
      </c>
      <c r="DE228" s="1"/>
      <c r="DF228" s="1"/>
      <c r="DG228" s="1"/>
      <c r="DH228" s="1"/>
      <c r="DI228" s="1"/>
      <c r="DJ228" s="1"/>
      <c r="DK228" s="1"/>
      <c r="DL228" s="1">
        <v>42156.25</v>
      </c>
      <c r="DM228" s="1"/>
      <c r="DN228" s="1"/>
      <c r="DO228" s="1"/>
      <c r="DP228" s="1"/>
      <c r="DQ228" s="1"/>
      <c r="DR228" s="1"/>
      <c r="DS228" s="1"/>
      <c r="DT228" s="1"/>
      <c r="DU228" s="1"/>
      <c r="DV228" s="1"/>
      <c r="DW228" s="1"/>
      <c r="DX228" s="1"/>
      <c r="DY228" s="1">
        <v>42157.25</v>
      </c>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row>
    <row r="229" spans="1:216" x14ac:dyDescent="0.3">
      <c r="A229" s="3" t="str">
        <f>HYPERLINK("https://hpr-rps.hres.ca/reg-content/summary-basis-decision-detailTwo.php?lang=en&amp;linkID=SBD00230", "Myrbetriq")</f>
        <v>Myrbetriq</v>
      </c>
      <c r="B229" s="1" t="s">
        <v>642</v>
      </c>
      <c r="C229" s="1" t="s">
        <v>328</v>
      </c>
      <c r="D229" s="1" t="s">
        <v>643</v>
      </c>
      <c r="E229" s="1">
        <v>40878.25</v>
      </c>
      <c r="F229" s="1"/>
      <c r="G229" s="1"/>
      <c r="H229" s="1">
        <v>40987.208333333343</v>
      </c>
      <c r="I229" s="1"/>
      <c r="J229" s="1"/>
      <c r="K229" s="1"/>
      <c r="L229" s="1"/>
      <c r="M229" s="1"/>
      <c r="N229" s="1"/>
      <c r="O229" s="1"/>
      <c r="P229" s="1"/>
      <c r="Q229" s="1"/>
      <c r="R229" s="1"/>
      <c r="S229" s="1"/>
      <c r="T229" s="1"/>
      <c r="U229" s="1"/>
      <c r="V229" s="1"/>
      <c r="W229" s="1"/>
      <c r="X229" s="1"/>
      <c r="Y229" s="1"/>
      <c r="Z229" s="1"/>
      <c r="AA229" s="1"/>
      <c r="AB229" s="1"/>
      <c r="AC229" s="1"/>
      <c r="AD229" s="1"/>
      <c r="AE229" s="1"/>
      <c r="AF229" s="1">
        <v>41039.25</v>
      </c>
      <c r="AG229" s="1"/>
      <c r="AH229" s="1"/>
      <c r="AI229" s="1"/>
      <c r="AJ229" s="1"/>
      <c r="AK229" s="1"/>
      <c r="AL229" s="1"/>
      <c r="AM229" s="1"/>
      <c r="AN229" s="1"/>
      <c r="AO229" s="1"/>
      <c r="AP229" s="1"/>
      <c r="AQ229" s="1"/>
      <c r="AR229" s="1">
        <v>41327.25</v>
      </c>
      <c r="AS229" s="1">
        <v>41240.25</v>
      </c>
      <c r="AT229" s="1"/>
      <c r="AU229" s="1"/>
      <c r="AV229" s="1">
        <v>41333.25</v>
      </c>
      <c r="AW229" s="1"/>
      <c r="AX229" s="1">
        <v>41278.25</v>
      </c>
      <c r="AY229" s="1"/>
      <c r="AZ229" s="1">
        <v>41334.25</v>
      </c>
      <c r="BA229" s="1"/>
      <c r="BB229" s="1"/>
      <c r="BC229" s="1"/>
      <c r="BD229" s="1"/>
      <c r="BE229" s="1"/>
      <c r="BF229" s="1"/>
      <c r="BG229" s="1"/>
      <c r="BH229" s="1"/>
      <c r="BI229" s="1"/>
      <c r="BJ229" s="1"/>
      <c r="BK229" s="1"/>
      <c r="BL229" s="1"/>
      <c r="BM229" s="1">
        <v>41339.25</v>
      </c>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row>
    <row r="230" spans="1:216" x14ac:dyDescent="0.3">
      <c r="A230" s="3" t="str">
        <f>HYPERLINK("https://hpr-rps.hres.ca/reg-content/summary-basis-decision-detailTwo.php?lang=en&amp;linkID=SBD00251", "Iclusig")</f>
        <v>Iclusig</v>
      </c>
      <c r="B230" s="1" t="s">
        <v>644</v>
      </c>
      <c r="C230" s="1" t="s">
        <v>645</v>
      </c>
      <c r="D230" s="1" t="s">
        <v>646</v>
      </c>
      <c r="E230" s="1"/>
      <c r="F230" s="1"/>
      <c r="G230" s="1"/>
      <c r="H230" s="1">
        <v>41417.25</v>
      </c>
      <c r="I230" s="1"/>
      <c r="J230" s="1"/>
      <c r="K230" s="1"/>
      <c r="L230" s="1"/>
      <c r="M230" s="1"/>
      <c r="N230" s="1"/>
      <c r="O230" s="1"/>
      <c r="P230" s="1"/>
      <c r="Q230" s="1"/>
      <c r="R230" s="1"/>
      <c r="S230" s="1"/>
      <c r="T230" s="1"/>
      <c r="U230" s="1"/>
      <c r="V230" s="1"/>
      <c r="W230" s="1"/>
      <c r="X230" s="1"/>
      <c r="Y230" s="1"/>
      <c r="Z230" s="1"/>
      <c r="AA230" s="1"/>
      <c r="AB230" s="1"/>
      <c r="AC230" s="1"/>
      <c r="AD230" s="1"/>
      <c r="AE230" s="1"/>
      <c r="AF230" s="1">
        <v>41449.25</v>
      </c>
      <c r="AG230" s="1"/>
      <c r="AH230" s="1"/>
      <c r="AI230" s="1"/>
      <c r="AJ230" s="1"/>
      <c r="AK230" s="1"/>
      <c r="AL230" s="1"/>
      <c r="AM230" s="1"/>
      <c r="AN230" s="1"/>
      <c r="AO230" s="1"/>
      <c r="AP230" s="1"/>
      <c r="AQ230" s="1"/>
      <c r="AR230" s="1">
        <v>41617.25</v>
      </c>
      <c r="AS230" s="1">
        <v>41514.25</v>
      </c>
      <c r="AT230" s="1"/>
      <c r="AU230" s="1"/>
      <c r="AV230" s="1">
        <v>41617.25</v>
      </c>
      <c r="AW230" s="1"/>
      <c r="AX230" s="1">
        <v>41572.25</v>
      </c>
      <c r="AY230" s="1"/>
      <c r="AZ230" s="1">
        <v>41646.25</v>
      </c>
      <c r="BA230" s="1"/>
      <c r="BB230" s="1"/>
      <c r="BC230" s="1"/>
      <c r="BD230" s="1"/>
      <c r="BE230" s="1"/>
      <c r="BF230" s="1"/>
      <c r="BG230" s="1"/>
      <c r="BH230" s="1"/>
      <c r="BI230" s="1"/>
      <c r="BJ230" s="1"/>
      <c r="BK230" s="1"/>
      <c r="BL230" s="1"/>
      <c r="BM230" s="1"/>
      <c r="BN230" s="1"/>
      <c r="BO230" s="1"/>
      <c r="BP230" s="1">
        <v>41648.25</v>
      </c>
      <c r="BQ230" s="1"/>
      <c r="BR230" s="1"/>
      <c r="BS230" s="1"/>
      <c r="BT230" s="1"/>
      <c r="BU230" s="1"/>
      <c r="BV230" s="1"/>
      <c r="BW230" s="1"/>
      <c r="BX230" s="1"/>
      <c r="BY230" s="1">
        <v>41822.25</v>
      </c>
      <c r="BZ230" s="1"/>
      <c r="CA230" s="1"/>
      <c r="CB230" s="1"/>
      <c r="CC230" s="1"/>
      <c r="CD230" s="1"/>
      <c r="CE230" s="1"/>
      <c r="CF230" s="1"/>
      <c r="CG230" s="1"/>
      <c r="CH230" s="1"/>
      <c r="CI230" s="1"/>
      <c r="CJ230" s="1"/>
      <c r="CK230" s="1"/>
      <c r="CL230" s="1"/>
      <c r="CM230" s="1"/>
      <c r="CN230" s="1"/>
      <c r="CO230" s="1"/>
      <c r="CP230" s="1"/>
      <c r="CQ230" s="1"/>
      <c r="CR230" s="1">
        <v>41851.25</v>
      </c>
      <c r="CS230" s="1"/>
      <c r="CT230" s="1"/>
      <c r="CU230" s="1"/>
      <c r="CV230" s="1"/>
      <c r="CW230" s="1"/>
      <c r="CX230" s="1"/>
      <c r="CY230" s="1"/>
      <c r="CZ230" s="1"/>
      <c r="DA230" s="1"/>
      <c r="DB230" s="1"/>
      <c r="DC230" s="1"/>
      <c r="DD230" s="1">
        <v>42046.25</v>
      </c>
      <c r="DE230" s="1">
        <v>41976.25</v>
      </c>
      <c r="DF230" s="1"/>
      <c r="DG230" s="1"/>
      <c r="DH230" s="1">
        <v>42047.25</v>
      </c>
      <c r="DI230" s="1"/>
      <c r="DJ230" s="1"/>
      <c r="DK230" s="1"/>
      <c r="DL230" s="1">
        <v>42096.25</v>
      </c>
      <c r="DM230" s="1"/>
      <c r="DN230" s="1"/>
      <c r="DO230" s="1"/>
      <c r="DP230" s="1"/>
      <c r="DQ230" s="1"/>
      <c r="DR230" s="1"/>
      <c r="DS230" s="1"/>
      <c r="DT230" s="1"/>
      <c r="DU230" s="1"/>
      <c r="DV230" s="1"/>
      <c r="DW230" s="1"/>
      <c r="DX230" s="1">
        <v>42048.25</v>
      </c>
      <c r="DY230" s="1">
        <v>42096.25</v>
      </c>
      <c r="DZ230" s="1"/>
      <c r="EA230" s="1"/>
      <c r="EB230" s="1"/>
      <c r="EC230" s="1"/>
      <c r="ED230" s="1"/>
      <c r="EE230" s="1"/>
      <c r="EF230" s="1"/>
      <c r="EG230" s="1"/>
      <c r="EH230" s="1"/>
      <c r="EI230" s="1"/>
      <c r="EJ230" s="1"/>
      <c r="EK230" s="1">
        <v>42062.25</v>
      </c>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row>
    <row r="231" spans="1:216" x14ac:dyDescent="0.3">
      <c r="A231" s="3" t="str">
        <f>HYPERLINK("https://hpr-rps.hres.ca/reg-content/summary-basis-decision-detailTwo.php?lang=en&amp;linkID=SBD00231", "Naglazyme")</f>
        <v>Naglazyme</v>
      </c>
      <c r="B231" s="1" t="s">
        <v>647</v>
      </c>
      <c r="C231" s="1" t="s">
        <v>289</v>
      </c>
      <c r="D231" s="1" t="s">
        <v>648</v>
      </c>
      <c r="E231" s="1">
        <v>41186.25</v>
      </c>
      <c r="F231" s="1"/>
      <c r="G231" s="1"/>
      <c r="H231" s="1">
        <v>41192.25</v>
      </c>
      <c r="I231" s="1"/>
      <c r="J231" s="1"/>
      <c r="K231" s="1"/>
      <c r="L231" s="1"/>
      <c r="M231" s="1"/>
      <c r="N231" s="1"/>
      <c r="O231" s="1"/>
      <c r="P231" s="1"/>
      <c r="Q231" s="1"/>
      <c r="R231" s="1"/>
      <c r="S231" s="1"/>
      <c r="T231" s="1"/>
      <c r="U231" s="1"/>
      <c r="V231" s="1"/>
      <c r="W231" s="1"/>
      <c r="X231" s="1"/>
      <c r="Y231" s="1"/>
      <c r="Z231" s="1"/>
      <c r="AA231" s="1"/>
      <c r="AB231" s="1"/>
      <c r="AC231" s="1"/>
      <c r="AD231" s="1"/>
      <c r="AE231" s="1"/>
      <c r="AF231" s="1">
        <v>41236.25</v>
      </c>
      <c r="AG231" s="1"/>
      <c r="AH231" s="1"/>
      <c r="AI231" s="1"/>
      <c r="AJ231" s="1"/>
      <c r="AK231" s="1"/>
      <c r="AL231" s="1"/>
      <c r="AM231" s="1"/>
      <c r="AN231" s="1"/>
      <c r="AO231" s="1">
        <v>41442.25</v>
      </c>
      <c r="AP231" s="1"/>
      <c r="AQ231" s="1"/>
      <c r="AR231" s="1">
        <v>41453.25</v>
      </c>
      <c r="AS231" s="1"/>
      <c r="AT231" s="1"/>
      <c r="AU231" s="1"/>
      <c r="AV231" s="1">
        <v>41528.25</v>
      </c>
      <c r="AW231" s="1"/>
      <c r="AX231" s="1"/>
      <c r="AY231" s="1"/>
      <c r="AZ231" s="1">
        <v>41529.25</v>
      </c>
      <c r="BA231" s="1"/>
      <c r="BB231" s="1"/>
      <c r="BC231" s="1"/>
      <c r="BD231" s="1"/>
      <c r="BE231" s="1"/>
      <c r="BF231" s="1"/>
      <c r="BG231" s="1"/>
      <c r="BH231" s="1"/>
      <c r="BI231" s="1"/>
      <c r="BJ231" s="1"/>
      <c r="BK231" s="1"/>
      <c r="BL231" s="1">
        <v>41533.25</v>
      </c>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row>
    <row r="232" spans="1:216" x14ac:dyDescent="0.3">
      <c r="A232" s="3" t="str">
        <f>HYPERLINK("https://hpr-rps.hres.ca/reg-content/summary-basis-decision-detailTwo.php?lang=en&amp;linkID=SBD00232", "Nesina")</f>
        <v>Nesina</v>
      </c>
      <c r="B232" s="1" t="s">
        <v>649</v>
      </c>
      <c r="C232" s="1" t="s">
        <v>241</v>
      </c>
      <c r="D232" s="1" t="s">
        <v>650</v>
      </c>
      <c r="E232" s="1">
        <v>41064.25</v>
      </c>
      <c r="F232" s="1"/>
      <c r="G232" s="1"/>
      <c r="H232" s="1">
        <v>41150.25</v>
      </c>
      <c r="I232" s="1"/>
      <c r="J232" s="1"/>
      <c r="K232" s="1"/>
      <c r="L232" s="1"/>
      <c r="M232" s="1"/>
      <c r="N232" s="1"/>
      <c r="O232" s="1"/>
      <c r="P232" s="1"/>
      <c r="Q232" s="1"/>
      <c r="R232" s="1"/>
      <c r="S232" s="1"/>
      <c r="T232" s="1"/>
      <c r="U232" s="1"/>
      <c r="V232" s="1"/>
      <c r="W232" s="1"/>
      <c r="X232" s="1"/>
      <c r="Y232" s="1"/>
      <c r="Z232" s="1">
        <v>41221.25</v>
      </c>
      <c r="AA232" s="1"/>
      <c r="AB232" s="1"/>
      <c r="AC232" s="1">
        <v>41262.25</v>
      </c>
      <c r="AD232" s="1"/>
      <c r="AE232" s="1"/>
      <c r="AF232" s="1">
        <v>41305.25</v>
      </c>
      <c r="AG232" s="1"/>
      <c r="AH232" s="1"/>
      <c r="AI232" s="1"/>
      <c r="AJ232" s="1"/>
      <c r="AK232" s="1"/>
      <c r="AL232" s="1"/>
      <c r="AM232" s="1"/>
      <c r="AN232" s="1"/>
      <c r="AO232" s="1"/>
      <c r="AP232" s="1"/>
      <c r="AQ232" s="1"/>
      <c r="AR232" s="1">
        <v>41604.25</v>
      </c>
      <c r="AS232" s="1">
        <v>41523.25</v>
      </c>
      <c r="AT232" s="1"/>
      <c r="AU232" s="1"/>
      <c r="AV232" s="1">
        <v>41597.25</v>
      </c>
      <c r="AW232" s="1"/>
      <c r="AX232" s="1"/>
      <c r="AY232" s="1"/>
      <c r="AZ232" s="1">
        <v>41604.25</v>
      </c>
      <c r="BA232" s="1"/>
      <c r="BB232" s="1"/>
      <c r="BC232" s="1"/>
      <c r="BD232" s="1"/>
      <c r="BE232" s="1"/>
      <c r="BF232" s="1"/>
      <c r="BG232" s="1"/>
      <c r="BH232" s="1"/>
      <c r="BI232" s="1"/>
      <c r="BJ232" s="1"/>
      <c r="BK232" s="1"/>
      <c r="BL232" s="1"/>
      <c r="BM232" s="1">
        <v>41605.25</v>
      </c>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row>
    <row r="233" spans="1:216" x14ac:dyDescent="0.3">
      <c r="A233" s="3" t="str">
        <f>HYPERLINK("https://hpr-rps.hres.ca/reg-content/summary-basis-decision-detailTwo.php?lang=en&amp;linkID=SBD00233", "Neupro")</f>
        <v>Neupro</v>
      </c>
      <c r="B233" s="1" t="s">
        <v>651</v>
      </c>
      <c r="C233" s="1" t="s">
        <v>164</v>
      </c>
      <c r="D233" s="1" t="s">
        <v>652</v>
      </c>
      <c r="E233" s="1">
        <v>40486.208333333343</v>
      </c>
      <c r="F233" s="1"/>
      <c r="G233" s="1"/>
      <c r="H233" s="1">
        <v>40998.25</v>
      </c>
      <c r="I233" s="1"/>
      <c r="J233" s="1"/>
      <c r="K233" s="1"/>
      <c r="L233" s="1"/>
      <c r="M233" s="1"/>
      <c r="N233" s="1"/>
      <c r="O233" s="1"/>
      <c r="P233" s="1"/>
      <c r="Q233" s="1"/>
      <c r="R233" s="1"/>
      <c r="S233" s="1"/>
      <c r="T233" s="1"/>
      <c r="U233" s="1"/>
      <c r="V233" s="1"/>
      <c r="W233" s="1"/>
      <c r="X233" s="1"/>
      <c r="Y233" s="1"/>
      <c r="Z233" s="1"/>
      <c r="AA233" s="1"/>
      <c r="AB233" s="1"/>
      <c r="AC233" s="1"/>
      <c r="AD233" s="1"/>
      <c r="AE233" s="1"/>
      <c r="AF233" s="1">
        <v>41054.25</v>
      </c>
      <c r="AG233" s="1"/>
      <c r="AH233" s="1"/>
      <c r="AI233" s="1"/>
      <c r="AJ233" s="1"/>
      <c r="AK233" s="1"/>
      <c r="AL233" s="1"/>
      <c r="AM233" s="1"/>
      <c r="AN233" s="1"/>
      <c r="AO233" s="1"/>
      <c r="AP233" s="1"/>
      <c r="AQ233" s="1"/>
      <c r="AR233" s="1">
        <v>41351.208333333343</v>
      </c>
      <c r="AS233" s="1">
        <v>41327.25</v>
      </c>
      <c r="AT233" s="1"/>
      <c r="AU233" s="1"/>
      <c r="AV233" s="1">
        <v>41344.208333333343</v>
      </c>
      <c r="AW233" s="1"/>
      <c r="AX233" s="1"/>
      <c r="AY233" s="1"/>
      <c r="AZ233" s="1">
        <v>41352.208333333343</v>
      </c>
      <c r="BA233" s="1"/>
      <c r="BB233" s="1"/>
      <c r="BC233" s="1"/>
      <c r="BD233" s="1"/>
      <c r="BE233" s="1"/>
      <c r="BF233" s="1"/>
      <c r="BG233" s="1"/>
      <c r="BH233" s="1"/>
      <c r="BI233" s="1"/>
      <c r="BJ233" s="1"/>
      <c r="BK233" s="1"/>
      <c r="BL233" s="1"/>
      <c r="BM233" s="1">
        <v>41354.208333333343</v>
      </c>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row>
    <row r="234" spans="1:216" x14ac:dyDescent="0.3">
      <c r="A234" s="3" t="str">
        <f>HYPERLINK("https://hpr-rps.hres.ca/reg-content/summary-basis-decision-detailTwo.php?lang=en&amp;linkID=SBD00234", "Nimenrix")</f>
        <v>Nimenrix</v>
      </c>
      <c r="B234" s="1" t="s">
        <v>653</v>
      </c>
      <c r="C234" s="1" t="s">
        <v>96</v>
      </c>
      <c r="D234" s="1" t="s">
        <v>654</v>
      </c>
      <c r="E234" s="1">
        <v>40038.25</v>
      </c>
      <c r="F234" s="1"/>
      <c r="G234" s="1"/>
      <c r="H234" s="1">
        <v>40989.208333333343</v>
      </c>
      <c r="I234" s="1"/>
      <c r="J234" s="1"/>
      <c r="K234" s="1"/>
      <c r="L234" s="1"/>
      <c r="M234" s="1"/>
      <c r="N234" s="1"/>
      <c r="O234" s="1"/>
      <c r="P234" s="1"/>
      <c r="Q234" s="1"/>
      <c r="R234" s="1"/>
      <c r="S234" s="1"/>
      <c r="T234" s="1"/>
      <c r="U234" s="1"/>
      <c r="V234" s="1"/>
      <c r="W234" s="1"/>
      <c r="X234" s="1"/>
      <c r="Y234" s="1"/>
      <c r="Z234" s="1"/>
      <c r="AA234" s="1"/>
      <c r="AB234" s="1"/>
      <c r="AC234" s="1"/>
      <c r="AD234" s="1"/>
      <c r="AE234" s="1"/>
      <c r="AF234" s="1">
        <v>41047.25</v>
      </c>
      <c r="AG234" s="1"/>
      <c r="AH234" s="1"/>
      <c r="AI234" s="1"/>
      <c r="AJ234" s="1"/>
      <c r="AK234" s="1"/>
      <c r="AL234" s="1"/>
      <c r="AM234" s="1"/>
      <c r="AN234" s="1"/>
      <c r="AO234" s="1">
        <v>41239.25</v>
      </c>
      <c r="AP234" s="1"/>
      <c r="AQ234" s="1"/>
      <c r="AR234" s="1">
        <v>41337.25</v>
      </c>
      <c r="AS234" s="1"/>
      <c r="AT234" s="1"/>
      <c r="AU234" s="1"/>
      <c r="AV234" s="1">
        <v>41337.25</v>
      </c>
      <c r="AW234" s="1"/>
      <c r="AX234" s="1"/>
      <c r="AY234" s="1"/>
      <c r="AZ234" s="1">
        <v>41326.25</v>
      </c>
      <c r="BA234" s="1"/>
      <c r="BB234" s="1"/>
      <c r="BC234" s="1"/>
      <c r="BD234" s="1"/>
      <c r="BE234" s="1"/>
      <c r="BF234" s="1"/>
      <c r="BG234" s="1"/>
      <c r="BH234" s="1"/>
      <c r="BI234" s="1"/>
      <c r="BJ234" s="1"/>
      <c r="BK234" s="1"/>
      <c r="BL234" s="1"/>
      <c r="BM234" s="1">
        <v>41338.25</v>
      </c>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row>
    <row r="235" spans="1:216" x14ac:dyDescent="0.3">
      <c r="A235" s="3" t="str">
        <f>HYPERLINK("https://hpr-rps.hres.ca/reg-content/summary-basis-decision-detailTwo.php?lang=en&amp;linkID=SBD00235", "Nuwiq")</f>
        <v>Nuwiq</v>
      </c>
      <c r="B235" s="1" t="s">
        <v>655</v>
      </c>
      <c r="C235" s="1" t="s">
        <v>656</v>
      </c>
      <c r="D235" s="1" t="s">
        <v>657</v>
      </c>
      <c r="E235" s="1">
        <v>41530.25</v>
      </c>
      <c r="F235" s="1"/>
      <c r="G235" s="1"/>
      <c r="H235" s="1">
        <v>41579.208333333343</v>
      </c>
      <c r="I235" s="1"/>
      <c r="J235" s="1"/>
      <c r="K235" s="1"/>
      <c r="L235" s="1"/>
      <c r="M235" s="1"/>
      <c r="N235" s="1"/>
      <c r="O235" s="1"/>
      <c r="P235" s="1"/>
      <c r="Q235" s="1"/>
      <c r="R235" s="1"/>
      <c r="S235" s="1"/>
      <c r="T235" s="1"/>
      <c r="U235" s="1"/>
      <c r="V235" s="1"/>
      <c r="W235" s="1"/>
      <c r="X235" s="1"/>
      <c r="Y235" s="1"/>
      <c r="Z235" s="1"/>
      <c r="AA235" s="1"/>
      <c r="AB235" s="1"/>
      <c r="AC235" s="1"/>
      <c r="AD235" s="1"/>
      <c r="AE235" s="1"/>
      <c r="AF235" s="1">
        <v>41635.25</v>
      </c>
      <c r="AG235" s="1"/>
      <c r="AH235" s="1"/>
      <c r="AI235" s="1"/>
      <c r="AJ235" s="1"/>
      <c r="AK235" s="1"/>
      <c r="AL235" s="1"/>
      <c r="AM235" s="1"/>
      <c r="AN235" s="1"/>
      <c r="AO235" s="1">
        <v>41911.25</v>
      </c>
      <c r="AP235" s="1"/>
      <c r="AQ235" s="1"/>
      <c r="AR235" s="1">
        <v>41929.25</v>
      </c>
      <c r="AS235" s="1"/>
      <c r="AT235" s="1">
        <v>41925.25</v>
      </c>
      <c r="AU235" s="1"/>
      <c r="AV235" s="1">
        <v>41932.25</v>
      </c>
      <c r="AW235" s="1"/>
      <c r="AX235" s="1"/>
      <c r="AY235" s="1"/>
      <c r="AZ235" s="1">
        <v>41935.25</v>
      </c>
      <c r="BA235" s="1"/>
      <c r="BB235" s="1"/>
      <c r="BC235" s="1"/>
      <c r="BD235" s="1"/>
      <c r="BE235" s="1"/>
      <c r="BF235" s="1"/>
      <c r="BG235" s="1"/>
      <c r="BH235" s="1"/>
      <c r="BI235" s="1"/>
      <c r="BJ235" s="1"/>
      <c r="BK235" s="1"/>
      <c r="BL235" s="1"/>
      <c r="BM235" s="1">
        <v>41935.25</v>
      </c>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row>
    <row r="236" spans="1:216" x14ac:dyDescent="0.3">
      <c r="A236" s="3" t="str">
        <f>HYPERLINK("https://hpr-rps.hres.ca/reg-content/summary-basis-decision-detailTwo.php?lang=en&amp;linkID=SBD00236", "Ofev")</f>
        <v>Ofev</v>
      </c>
      <c r="B236" s="1" t="s">
        <v>658</v>
      </c>
      <c r="C236" s="1" t="s">
        <v>659</v>
      </c>
      <c r="D236" s="1" t="s">
        <v>660</v>
      </c>
      <c r="E236" s="1">
        <v>41732.25</v>
      </c>
      <c r="F236" s="1"/>
      <c r="G236" s="1"/>
      <c r="H236" s="1"/>
      <c r="I236" s="1"/>
      <c r="J236" s="1"/>
      <c r="K236" s="1"/>
      <c r="L236" s="1"/>
      <c r="M236" s="1"/>
      <c r="N236" s="1">
        <v>41751.25</v>
      </c>
      <c r="O236" s="1"/>
      <c r="P236" s="1"/>
      <c r="Q236" s="1"/>
      <c r="R236" s="1"/>
      <c r="S236" s="1"/>
      <c r="T236" s="1">
        <v>41789.25</v>
      </c>
      <c r="U236" s="1"/>
      <c r="V236" s="1">
        <v>41829.25</v>
      </c>
      <c r="W236" s="1"/>
      <c r="X236" s="1"/>
      <c r="Y236" s="1"/>
      <c r="Z236" s="1"/>
      <c r="AA236" s="1"/>
      <c r="AB236" s="1"/>
      <c r="AC236" s="1"/>
      <c r="AD236" s="1"/>
      <c r="AE236" s="1"/>
      <c r="AF236" s="1">
        <v>41880.25</v>
      </c>
      <c r="AG236" s="1"/>
      <c r="AH236" s="1"/>
      <c r="AI236" s="1"/>
      <c r="AJ236" s="1"/>
      <c r="AK236" s="1"/>
      <c r="AL236" s="1"/>
      <c r="AM236" s="1"/>
      <c r="AN236" s="1"/>
      <c r="AO236" s="1"/>
      <c r="AP236" s="1"/>
      <c r="AQ236" s="1"/>
      <c r="AR236" s="1">
        <v>42179.25</v>
      </c>
      <c r="AS236" s="1">
        <v>42068.25</v>
      </c>
      <c r="AT236" s="1"/>
      <c r="AU236" s="1"/>
      <c r="AV236" s="1">
        <v>42172.25</v>
      </c>
      <c r="AW236" s="1"/>
      <c r="AX236" s="1"/>
      <c r="AY236" s="1"/>
      <c r="AZ236" s="1">
        <v>42179.25</v>
      </c>
      <c r="BA236" s="1"/>
      <c r="BB236" s="1"/>
      <c r="BC236" s="1"/>
      <c r="BD236" s="1"/>
      <c r="BE236" s="1"/>
      <c r="BF236" s="1"/>
      <c r="BG236" s="1"/>
      <c r="BH236" s="1"/>
      <c r="BI236" s="1"/>
      <c r="BJ236" s="1"/>
      <c r="BK236" s="1"/>
      <c r="BL236" s="1"/>
      <c r="BM236" s="1">
        <v>42180.25</v>
      </c>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row>
    <row r="237" spans="1:216" x14ac:dyDescent="0.3">
      <c r="A237" s="3" t="str">
        <f>HYPERLINK("https://hpr-rps.hres.ca/reg-content/summary-basis-decision-detailTwo.php?lang=en&amp;linkID=SBD00237", "Opsumit")</f>
        <v>Opsumit</v>
      </c>
      <c r="B237" s="1" t="s">
        <v>661</v>
      </c>
      <c r="C237" s="1" t="s">
        <v>662</v>
      </c>
      <c r="D237" s="1" t="s">
        <v>663</v>
      </c>
      <c r="E237" s="1">
        <v>41207.25</v>
      </c>
      <c r="F237" s="1"/>
      <c r="G237" s="1"/>
      <c r="H237" s="1"/>
      <c r="I237" s="1"/>
      <c r="J237" s="1"/>
      <c r="K237" s="1"/>
      <c r="L237" s="1"/>
      <c r="M237" s="1"/>
      <c r="N237" s="1">
        <v>41229.25</v>
      </c>
      <c r="O237" s="1"/>
      <c r="P237" s="1"/>
      <c r="Q237" s="1">
        <v>41466.25</v>
      </c>
      <c r="R237" s="1">
        <v>41471.25</v>
      </c>
      <c r="S237" s="1">
        <v>41263.25</v>
      </c>
      <c r="T237" s="1"/>
      <c r="U237" s="1"/>
      <c r="V237" s="1">
        <v>41267.25</v>
      </c>
      <c r="W237" s="1"/>
      <c r="X237" s="1"/>
      <c r="Y237" s="1"/>
      <c r="Z237" s="1"/>
      <c r="AA237" s="1"/>
      <c r="AB237" s="1"/>
      <c r="AC237" s="1"/>
      <c r="AD237" s="1"/>
      <c r="AE237" s="1"/>
      <c r="AF237" s="1">
        <v>41309.25</v>
      </c>
      <c r="AG237" s="1"/>
      <c r="AH237" s="1"/>
      <c r="AI237" s="1"/>
      <c r="AJ237" s="1"/>
      <c r="AK237" s="1"/>
      <c r="AL237" s="1"/>
      <c r="AM237" s="1"/>
      <c r="AN237" s="1"/>
      <c r="AO237" s="1"/>
      <c r="AP237" s="1"/>
      <c r="AQ237" s="1"/>
      <c r="AR237" s="1">
        <v>41578.208333333343</v>
      </c>
      <c r="AS237" s="1"/>
      <c r="AT237" s="1"/>
      <c r="AU237" s="1"/>
      <c r="AV237" s="1">
        <v>41471.25</v>
      </c>
      <c r="AW237" s="1"/>
      <c r="AX237" s="1"/>
      <c r="AY237" s="1"/>
      <c r="AZ237" s="1">
        <v>41578.208333333343</v>
      </c>
      <c r="BA237" s="1"/>
      <c r="BB237" s="1"/>
      <c r="BC237" s="1"/>
      <c r="BD237" s="1"/>
      <c r="BE237" s="1"/>
      <c r="BF237" s="1"/>
      <c r="BG237" s="1"/>
      <c r="BH237" s="1"/>
      <c r="BI237" s="1"/>
      <c r="BJ237" s="1"/>
      <c r="BK237" s="1"/>
      <c r="BL237" s="1"/>
      <c r="BM237" s="1">
        <v>41584.25</v>
      </c>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row>
    <row r="238" spans="1:216" x14ac:dyDescent="0.3">
      <c r="A238" s="3" t="str">
        <f>HYPERLINK("https://hpr-rps.hres.ca/reg-content/summary-basis-decision-detailTwo.php?lang=en&amp;linkID=SBD00238", "Otezla")</f>
        <v>Otezla</v>
      </c>
      <c r="B238" s="1" t="s">
        <v>664</v>
      </c>
      <c r="C238" s="1" t="s">
        <v>665</v>
      </c>
      <c r="D238" s="1" t="s">
        <v>666</v>
      </c>
      <c r="E238" s="1">
        <v>41429.25</v>
      </c>
      <c r="F238" s="1"/>
      <c r="G238" s="1"/>
      <c r="H238" s="1">
        <v>41586.25</v>
      </c>
      <c r="I238" s="1"/>
      <c r="J238" s="1"/>
      <c r="K238" s="1"/>
      <c r="L238" s="1"/>
      <c r="M238" s="1"/>
      <c r="N238" s="1"/>
      <c r="O238" s="1"/>
      <c r="P238" s="1"/>
      <c r="Q238" s="1"/>
      <c r="R238" s="1"/>
      <c r="S238" s="1"/>
      <c r="T238" s="1"/>
      <c r="U238" s="1"/>
      <c r="V238" s="1"/>
      <c r="W238" s="1"/>
      <c r="X238" s="1"/>
      <c r="Y238" s="1"/>
      <c r="Z238" s="1"/>
      <c r="AA238" s="1"/>
      <c r="AB238" s="1"/>
      <c r="AC238" s="1"/>
      <c r="AD238" s="1"/>
      <c r="AE238" s="1"/>
      <c r="AF238" s="1">
        <v>41655.25</v>
      </c>
      <c r="AG238" s="1"/>
      <c r="AH238" s="1"/>
      <c r="AI238" s="1"/>
      <c r="AJ238" s="1"/>
      <c r="AK238" s="1"/>
      <c r="AL238" s="1"/>
      <c r="AM238" s="1"/>
      <c r="AN238" s="1"/>
      <c r="AO238" s="1"/>
      <c r="AP238" s="1"/>
      <c r="AQ238" s="1"/>
      <c r="AR238" s="1">
        <v>41942.208333333343</v>
      </c>
      <c r="AS238" s="1">
        <v>41820.25</v>
      </c>
      <c r="AT238" s="1"/>
      <c r="AU238" s="1"/>
      <c r="AV238" s="1">
        <v>41932.25</v>
      </c>
      <c r="AW238" s="1"/>
      <c r="AX238" s="1"/>
      <c r="AY238" s="1"/>
      <c r="AZ238" s="1">
        <v>41955.25</v>
      </c>
      <c r="BA238" s="1"/>
      <c r="BB238" s="1"/>
      <c r="BC238" s="1"/>
      <c r="BD238" s="1"/>
      <c r="BE238" s="1"/>
      <c r="BF238" s="1"/>
      <c r="BG238" s="1"/>
      <c r="BH238" s="1"/>
      <c r="BI238" s="1"/>
      <c r="BJ238" s="1"/>
      <c r="BK238" s="1"/>
      <c r="BL238" s="1"/>
      <c r="BM238" s="1">
        <v>41955.25</v>
      </c>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row>
    <row r="239" spans="1:216" x14ac:dyDescent="0.3">
      <c r="A239" s="3" t="str">
        <f>HYPERLINK("https://hpr-rps.hres.ca/reg-content/summary-basis-decision-detailTwo.php?lang=en&amp;linkID=SBD00239", "Mifegymiso")</f>
        <v>Mifegymiso</v>
      </c>
      <c r="B239" s="1" t="s">
        <v>667</v>
      </c>
      <c r="C239" s="1" t="s">
        <v>668</v>
      </c>
      <c r="D239" s="1" t="s">
        <v>669</v>
      </c>
      <c r="E239" s="1">
        <v>39689.25</v>
      </c>
      <c r="F239" s="1">
        <v>40490.25</v>
      </c>
      <c r="G239" s="1"/>
      <c r="H239" s="1"/>
      <c r="I239" s="1"/>
      <c r="J239" s="1"/>
      <c r="K239" s="1"/>
      <c r="L239" s="1"/>
      <c r="M239" s="1"/>
      <c r="N239" s="1"/>
      <c r="O239" s="1"/>
      <c r="P239" s="1"/>
      <c r="Q239" s="1"/>
      <c r="R239" s="1"/>
      <c r="S239" s="1"/>
      <c r="T239" s="1"/>
      <c r="U239" s="1"/>
      <c r="V239" s="1"/>
      <c r="W239" s="1"/>
      <c r="X239" s="1"/>
      <c r="Y239" s="1"/>
      <c r="Z239" s="1">
        <v>40935.25</v>
      </c>
      <c r="AA239" s="1"/>
      <c r="AB239" s="1"/>
      <c r="AC239" s="1">
        <v>40967.25</v>
      </c>
      <c r="AD239" s="1"/>
      <c r="AE239" s="1"/>
      <c r="AF239" s="1"/>
      <c r="AG239" s="1">
        <v>41012.25</v>
      </c>
      <c r="AH239" s="1">
        <v>41040.25</v>
      </c>
      <c r="AI239" s="1"/>
      <c r="AJ239" s="1"/>
      <c r="AK239" s="1"/>
      <c r="AL239" s="1">
        <v>40883.25</v>
      </c>
      <c r="AM239" s="1"/>
      <c r="AN239" s="1"/>
      <c r="AO239" s="1"/>
      <c r="AP239" s="1"/>
      <c r="AQ239" s="1"/>
      <c r="AR239" s="1"/>
      <c r="AS239" s="1"/>
      <c r="AT239" s="1"/>
      <c r="AU239" s="1"/>
      <c r="AV239" s="1"/>
      <c r="AW239" s="1">
        <v>41285.25</v>
      </c>
      <c r="AX239" s="1"/>
      <c r="AY239" s="1"/>
      <c r="AZ239" s="1"/>
      <c r="BA239" s="1"/>
      <c r="BB239" s="1"/>
      <c r="BC239" s="1">
        <v>41227.25</v>
      </c>
      <c r="BD239" s="1"/>
      <c r="BE239" s="1"/>
      <c r="BF239" s="1"/>
      <c r="BG239" s="1"/>
      <c r="BH239" s="1"/>
      <c r="BI239" s="1"/>
      <c r="BJ239" s="1">
        <v>41451.25</v>
      </c>
      <c r="BK239" s="1"/>
      <c r="BL239" s="1"/>
      <c r="BM239" s="1"/>
      <c r="BN239" s="1"/>
      <c r="BO239" s="1"/>
      <c r="BP239" s="1"/>
      <c r="BQ239" s="1">
        <v>41569.25</v>
      </c>
      <c r="BR239" s="1"/>
      <c r="BS239" s="1"/>
      <c r="BT239" s="1"/>
      <c r="BU239" s="1"/>
      <c r="BV239" s="1"/>
      <c r="BW239" s="1"/>
      <c r="BX239" s="1"/>
      <c r="BY239" s="1"/>
      <c r="BZ239" s="1"/>
      <c r="CA239" s="1"/>
      <c r="CB239" s="1"/>
      <c r="CC239" s="1"/>
      <c r="CD239" s="1"/>
      <c r="CE239" s="1"/>
      <c r="CF239" s="1"/>
      <c r="CG239" s="1">
        <v>41583.25</v>
      </c>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v>41673.25</v>
      </c>
      <c r="DG239" s="1"/>
      <c r="DH239" s="1"/>
      <c r="DI239" s="1">
        <v>41719.208333333343</v>
      </c>
      <c r="DJ239" s="1"/>
      <c r="DK239" s="1"/>
      <c r="DL239" s="1"/>
      <c r="DM239" s="1"/>
      <c r="DN239" s="1"/>
      <c r="DO239" s="1"/>
      <c r="DP239" s="1"/>
      <c r="DQ239" s="1"/>
      <c r="DR239" s="1"/>
      <c r="DS239" s="1"/>
      <c r="DT239" s="1"/>
      <c r="DU239" s="1"/>
      <c r="DV239" s="1"/>
      <c r="DW239" s="1"/>
      <c r="DX239" s="1"/>
      <c r="DY239" s="1"/>
      <c r="DZ239" s="1"/>
      <c r="EA239" s="1"/>
      <c r="EB239" s="1"/>
      <c r="EC239" s="1">
        <v>41991.25</v>
      </c>
      <c r="ED239" s="1"/>
      <c r="EE239" s="1"/>
      <c r="EF239" s="1"/>
      <c r="EG239" s="1"/>
      <c r="EH239" s="1"/>
      <c r="EI239" s="1"/>
      <c r="EJ239" s="1"/>
      <c r="EK239" s="1"/>
      <c r="EL239" s="1"/>
      <c r="EM239" s="1"/>
      <c r="EN239" s="1"/>
      <c r="EO239" s="1"/>
      <c r="EP239" s="1"/>
      <c r="EQ239" s="1"/>
      <c r="ER239" s="1"/>
      <c r="ES239" s="1"/>
      <c r="ET239" s="1"/>
      <c r="EU239" s="1"/>
      <c r="EV239" s="1"/>
      <c r="EW239" s="1">
        <v>41991.25</v>
      </c>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row>
    <row r="240" spans="1:216" x14ac:dyDescent="0.3">
      <c r="A240" s="3" t="str">
        <f>HYPERLINK("https://hpr-rps.hres.ca/reg-content/summary-basis-decision-detailTwo.php?lang=en&amp;linkID=SBD00240", "Obizur")</f>
        <v>Obizur</v>
      </c>
      <c r="B240" s="1" t="s">
        <v>670</v>
      </c>
      <c r="C240" s="1" t="s">
        <v>671</v>
      </c>
      <c r="D240" s="1" t="s">
        <v>672</v>
      </c>
      <c r="E240" s="1">
        <v>41628.25</v>
      </c>
      <c r="F240" s="1"/>
      <c r="G240" s="1"/>
      <c r="H240" s="1"/>
      <c r="I240" s="1"/>
      <c r="J240" s="1"/>
      <c r="K240" s="1"/>
      <c r="L240" s="1"/>
      <c r="M240" s="1"/>
      <c r="N240" s="1">
        <v>41759.25</v>
      </c>
      <c r="O240" s="1"/>
      <c r="P240" s="1"/>
      <c r="Q240" s="1"/>
      <c r="R240" s="1"/>
      <c r="S240" s="1"/>
      <c r="T240" s="1">
        <v>41788.25</v>
      </c>
      <c r="U240" s="1"/>
      <c r="V240" s="1">
        <v>41866.25</v>
      </c>
      <c r="W240" s="1"/>
      <c r="X240" s="1"/>
      <c r="Y240" s="1"/>
      <c r="Z240" s="1">
        <v>41922.25</v>
      </c>
      <c r="AA240" s="1"/>
      <c r="AB240" s="1"/>
      <c r="AC240" s="1">
        <v>41941.208333333343</v>
      </c>
      <c r="AD240" s="1"/>
      <c r="AE240" s="1"/>
      <c r="AF240" s="1">
        <v>41985.25</v>
      </c>
      <c r="AG240" s="1"/>
      <c r="AH240" s="1"/>
      <c r="AI240" s="1"/>
      <c r="AJ240" s="1"/>
      <c r="AK240" s="1"/>
      <c r="AL240" s="1"/>
      <c r="AM240" s="1"/>
      <c r="AN240" s="1"/>
      <c r="AO240" s="1">
        <v>42205.25</v>
      </c>
      <c r="AP240" s="1"/>
      <c r="AQ240" s="1"/>
      <c r="AR240" s="1">
        <v>42284.25</v>
      </c>
      <c r="AS240" s="1"/>
      <c r="AT240" s="1"/>
      <c r="AU240" s="1"/>
      <c r="AV240" s="1">
        <v>42286.25</v>
      </c>
      <c r="AW240" s="1"/>
      <c r="AX240" s="1"/>
      <c r="AY240" s="1"/>
      <c r="AZ240" s="1">
        <v>42178.25</v>
      </c>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row>
    <row r="241" spans="1:216" x14ac:dyDescent="0.3">
      <c r="A241" s="3" t="str">
        <f>HYPERLINK("https://hpr-rps.hres.ca/reg-content/summary-basis-decision-detailTwo.php?lang=en&amp;linkID=SBD00241", "Plegridy")</f>
        <v>Plegridy</v>
      </c>
      <c r="B241" s="1" t="s">
        <v>673</v>
      </c>
      <c r="C241" s="1" t="s">
        <v>674</v>
      </c>
      <c r="D241" s="1" t="s">
        <v>675</v>
      </c>
      <c r="E241" s="1">
        <v>41437.25</v>
      </c>
      <c r="F241" s="1"/>
      <c r="G241" s="1"/>
      <c r="H241" s="1">
        <v>41486.25</v>
      </c>
      <c r="I241" s="1"/>
      <c r="J241" s="1"/>
      <c r="K241" s="1"/>
      <c r="L241" s="1"/>
      <c r="M241" s="1"/>
      <c r="N241" s="1"/>
      <c r="O241" s="1"/>
      <c r="P241" s="1"/>
      <c r="Q241" s="1"/>
      <c r="R241" s="1"/>
      <c r="S241" s="1"/>
      <c r="T241" s="1"/>
      <c r="U241" s="1"/>
      <c r="V241" s="1"/>
      <c r="W241" s="1"/>
      <c r="X241" s="1"/>
      <c r="Y241" s="1"/>
      <c r="Z241" s="1"/>
      <c r="AA241" s="1"/>
      <c r="AB241" s="1"/>
      <c r="AC241" s="1"/>
      <c r="AD241" s="1"/>
      <c r="AE241" s="1"/>
      <c r="AF241" s="1">
        <v>41537.25</v>
      </c>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v>41837.25</v>
      </c>
      <c r="BQ241" s="1"/>
      <c r="BR241" s="1"/>
      <c r="BS241" s="1"/>
      <c r="BT241" s="1"/>
      <c r="BU241" s="1"/>
      <c r="BV241" s="1"/>
      <c r="BW241" s="1"/>
      <c r="BX241" s="1"/>
      <c r="BY241" s="1">
        <v>41890.25</v>
      </c>
      <c r="BZ241" s="1"/>
      <c r="CA241" s="1"/>
      <c r="CB241" s="1"/>
      <c r="CC241" s="1"/>
      <c r="CD241" s="1"/>
      <c r="CE241" s="1"/>
      <c r="CF241" s="1"/>
      <c r="CG241" s="1"/>
      <c r="CH241" s="1"/>
      <c r="CI241" s="1"/>
      <c r="CJ241" s="1"/>
      <c r="CK241" s="1"/>
      <c r="CL241" s="1"/>
      <c r="CM241" s="1"/>
      <c r="CN241" s="1"/>
      <c r="CO241" s="1"/>
      <c r="CP241" s="1"/>
      <c r="CQ241" s="1"/>
      <c r="CR241" s="1">
        <v>41926.25</v>
      </c>
      <c r="CS241" s="1"/>
      <c r="CT241" s="1"/>
      <c r="CU241" s="1"/>
      <c r="CV241" s="1"/>
      <c r="CW241" s="1"/>
      <c r="CX241" s="1"/>
      <c r="CY241" s="1"/>
      <c r="CZ241" s="1"/>
      <c r="DA241" s="1">
        <v>41652.25</v>
      </c>
      <c r="DB241" s="1"/>
      <c r="DC241" s="1"/>
      <c r="DD241" s="1">
        <v>42222.25</v>
      </c>
      <c r="DE241" s="1"/>
      <c r="DF241" s="1"/>
      <c r="DG241" s="1"/>
      <c r="DH241" s="1">
        <v>42145.25</v>
      </c>
      <c r="DI241" s="1"/>
      <c r="DJ241" s="1"/>
      <c r="DK241" s="1"/>
      <c r="DL241" s="1">
        <v>42226.25</v>
      </c>
      <c r="DM241" s="1"/>
      <c r="DN241" s="1"/>
      <c r="DO241" s="1"/>
      <c r="DP241" s="1"/>
      <c r="DQ241" s="1"/>
      <c r="DR241" s="1"/>
      <c r="DS241" s="1"/>
      <c r="DT241" s="1"/>
      <c r="DU241" s="1"/>
      <c r="DV241" s="1"/>
      <c r="DW241" s="1"/>
      <c r="DX241" s="1"/>
      <c r="DY241" s="1">
        <v>42226.25</v>
      </c>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row>
    <row r="242" spans="1:216" x14ac:dyDescent="0.3">
      <c r="A242" s="3" t="str">
        <f>HYPERLINK("https://hpr-rps.hres.ca/reg-content/summary-basis-decision-detailTwo.php?lang=en&amp;linkID=SBD00242", "Repatha")</f>
        <v>Repatha</v>
      </c>
      <c r="B242" s="1" t="s">
        <v>676</v>
      </c>
      <c r="C242" s="1" t="s">
        <v>286</v>
      </c>
      <c r="D242" s="1" t="s">
        <v>677</v>
      </c>
      <c r="E242" s="1">
        <v>41682.25</v>
      </c>
      <c r="F242" s="1"/>
      <c r="G242" s="1"/>
      <c r="H242" s="1">
        <v>41907.25</v>
      </c>
      <c r="I242" s="1"/>
      <c r="J242" s="1"/>
      <c r="K242" s="1"/>
      <c r="L242" s="1"/>
      <c r="M242" s="1"/>
      <c r="N242" s="1"/>
      <c r="O242" s="1"/>
      <c r="P242" s="1"/>
      <c r="Q242" s="1"/>
      <c r="R242" s="1"/>
      <c r="S242" s="1"/>
      <c r="T242" s="1"/>
      <c r="U242" s="1"/>
      <c r="V242" s="1"/>
      <c r="W242" s="1"/>
      <c r="X242" s="1"/>
      <c r="Y242" s="1"/>
      <c r="Z242" s="1"/>
      <c r="AA242" s="1"/>
      <c r="AB242" s="1"/>
      <c r="AC242" s="1"/>
      <c r="AD242" s="1"/>
      <c r="AE242" s="1"/>
      <c r="AF242" s="1">
        <v>41957.25</v>
      </c>
      <c r="AG242" s="1"/>
      <c r="AH242" s="1"/>
      <c r="AI242" s="1"/>
      <c r="AJ242" s="1"/>
      <c r="AK242" s="1"/>
      <c r="AL242" s="1"/>
      <c r="AM242" s="1"/>
      <c r="AN242" s="1"/>
      <c r="AO242" s="1"/>
      <c r="AP242" s="1"/>
      <c r="AQ242" s="1"/>
      <c r="AR242" s="1">
        <v>42244.25</v>
      </c>
      <c r="AS242" s="1"/>
      <c r="AT242" s="1"/>
      <c r="AU242" s="1"/>
      <c r="AV242" s="1">
        <v>42256.25</v>
      </c>
      <c r="AW242" s="1"/>
      <c r="AX242" s="1"/>
      <c r="AY242" s="1"/>
      <c r="AZ242" s="1">
        <v>42257.25</v>
      </c>
      <c r="BA242" s="1"/>
      <c r="BB242" s="1"/>
      <c r="BC242" s="1">
        <v>42115.25</v>
      </c>
      <c r="BD242" s="1"/>
      <c r="BE242" s="1"/>
      <c r="BF242" s="1"/>
      <c r="BG242" s="1"/>
      <c r="BH242" s="1"/>
      <c r="BI242" s="1"/>
      <c r="BJ242" s="1"/>
      <c r="BK242" s="1"/>
      <c r="BL242" s="1"/>
      <c r="BM242" s="1">
        <v>42257.25</v>
      </c>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row>
    <row r="243" spans="1:216" x14ac:dyDescent="0.3">
      <c r="A243" s="3" t="str">
        <f>HYPERLINK("https://hpr-rps.hres.ca/reg-content/summary-basis-decision-detailTwo.php?lang=en&amp;linkID=SBD00243", "Saflutan")</f>
        <v>Saflutan</v>
      </c>
      <c r="B243" s="1" t="s">
        <v>678</v>
      </c>
      <c r="C243" s="1" t="s">
        <v>415</v>
      </c>
      <c r="D243" s="1" t="s">
        <v>679</v>
      </c>
      <c r="E243" s="1">
        <v>40080.25</v>
      </c>
      <c r="F243" s="1"/>
      <c r="G243" s="1"/>
      <c r="H243" s="1">
        <v>40254.208333333343</v>
      </c>
      <c r="I243" s="1"/>
      <c r="J243" s="1"/>
      <c r="K243" s="1"/>
      <c r="L243" s="1"/>
      <c r="M243" s="1"/>
      <c r="N243" s="1"/>
      <c r="O243" s="1"/>
      <c r="P243" s="1"/>
      <c r="Q243" s="1"/>
      <c r="R243" s="1"/>
      <c r="S243" s="1"/>
      <c r="T243" s="1"/>
      <c r="U243" s="1"/>
      <c r="V243" s="1"/>
      <c r="W243" s="1"/>
      <c r="X243" s="1"/>
      <c r="Y243" s="1"/>
      <c r="Z243" s="1"/>
      <c r="AA243" s="1"/>
      <c r="AB243" s="1"/>
      <c r="AC243" s="1"/>
      <c r="AD243" s="1"/>
      <c r="AE243" s="1"/>
      <c r="AF243" s="1">
        <v>40298.25</v>
      </c>
      <c r="AG243" s="1"/>
      <c r="AH243" s="1"/>
      <c r="AI243" s="1"/>
      <c r="AJ243" s="1"/>
      <c r="AK243" s="1"/>
      <c r="AL243" s="1"/>
      <c r="AM243" s="1"/>
      <c r="AN243" s="1"/>
      <c r="AO243" s="1"/>
      <c r="AP243" s="1"/>
      <c r="AQ243" s="1"/>
      <c r="AR243" s="1"/>
      <c r="AS243" s="1"/>
      <c r="AT243" s="1"/>
      <c r="AU243" s="1"/>
      <c r="AV243" s="1">
        <v>40581.25</v>
      </c>
      <c r="AW243" s="1"/>
      <c r="AX243" s="1"/>
      <c r="AY243" s="1"/>
      <c r="AZ243" s="1">
        <v>40582.25</v>
      </c>
      <c r="BA243" s="1"/>
      <c r="BB243" s="1"/>
      <c r="BC243" s="1"/>
      <c r="BD243" s="1"/>
      <c r="BE243" s="1"/>
      <c r="BF243" s="1"/>
      <c r="BG243" s="1"/>
      <c r="BH243" s="1"/>
      <c r="BI243" s="1"/>
      <c r="BJ243" s="1"/>
      <c r="BK243" s="1"/>
      <c r="BL243" s="1"/>
      <c r="BM243" s="1"/>
      <c r="BN243" s="1"/>
      <c r="BO243" s="1"/>
      <c r="BP243" s="1">
        <v>40585.25</v>
      </c>
      <c r="BQ243" s="1"/>
      <c r="BR243" s="1"/>
      <c r="BS243" s="1"/>
      <c r="BT243" s="1"/>
      <c r="BU243" s="1"/>
      <c r="BV243" s="1"/>
      <c r="BW243" s="1"/>
      <c r="BX243" s="1"/>
      <c r="BY243" s="1"/>
      <c r="BZ243" s="1"/>
      <c r="CA243" s="1"/>
      <c r="CB243" s="1"/>
      <c r="CC243" s="1"/>
      <c r="CD243" s="1"/>
      <c r="CE243" s="1"/>
      <c r="CF243" s="1">
        <v>40675.25</v>
      </c>
      <c r="CG243" s="1"/>
      <c r="CH243" s="1"/>
      <c r="CI243" s="1">
        <v>41227.25</v>
      </c>
      <c r="CJ243" s="1"/>
      <c r="CK243" s="1"/>
      <c r="CL243" s="1"/>
      <c r="CM243" s="1"/>
      <c r="CN243" s="1"/>
      <c r="CO243" s="1"/>
      <c r="CP243" s="1"/>
      <c r="CQ243" s="1"/>
      <c r="CR243" s="1">
        <v>41487.25</v>
      </c>
      <c r="CS243" s="1"/>
      <c r="CT243" s="1"/>
      <c r="CU243" s="1"/>
      <c r="CV243" s="1"/>
      <c r="CW243" s="1"/>
      <c r="CX243" s="1">
        <v>41435.25</v>
      </c>
      <c r="CY243" s="1"/>
      <c r="CZ243" s="1"/>
      <c r="DA243" s="1">
        <v>41764.25</v>
      </c>
      <c r="DB243" s="1">
        <v>41774.25</v>
      </c>
      <c r="DC243" s="1"/>
      <c r="DD243" s="1"/>
      <c r="DE243" s="1"/>
      <c r="DF243" s="1"/>
      <c r="DG243" s="1"/>
      <c r="DH243" s="1"/>
      <c r="DI243" s="1"/>
      <c r="DJ243" s="1"/>
      <c r="DK243" s="1"/>
      <c r="DL243" s="1">
        <v>41774.25</v>
      </c>
      <c r="DM243" s="1"/>
      <c r="DN243" s="1"/>
      <c r="DO243" s="1"/>
      <c r="DP243" s="1">
        <v>41785.25</v>
      </c>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row>
    <row r="244" spans="1:216" x14ac:dyDescent="0.3">
      <c r="A244" s="3" t="str">
        <f>HYPERLINK("https://hpr-rps.hres.ca/reg-content/summary-basis-decision-detailTwo.php?lang=en&amp;linkID=SBD00244", "Trulicity")</f>
        <v>Trulicity</v>
      </c>
      <c r="B244" s="1" t="s">
        <v>680</v>
      </c>
      <c r="C244" s="1" t="s">
        <v>140</v>
      </c>
      <c r="D244" s="1" t="s">
        <v>681</v>
      </c>
      <c r="E244" s="1"/>
      <c r="F244" s="1"/>
      <c r="G244" s="1"/>
      <c r="H244" s="1">
        <v>41680.25</v>
      </c>
      <c r="I244" s="1"/>
      <c r="J244" s="1"/>
      <c r="K244" s="1"/>
      <c r="L244" s="1"/>
      <c r="M244" s="1"/>
      <c r="N244" s="1"/>
      <c r="O244" s="1"/>
      <c r="P244" s="1"/>
      <c r="Q244" s="1"/>
      <c r="R244" s="1"/>
      <c r="S244" s="1"/>
      <c r="T244" s="1"/>
      <c r="U244" s="1"/>
      <c r="V244" s="1"/>
      <c r="W244" s="1"/>
      <c r="X244" s="1"/>
      <c r="Y244" s="1"/>
      <c r="Z244" s="1"/>
      <c r="AA244" s="1"/>
      <c r="AB244" s="1"/>
      <c r="AC244" s="1"/>
      <c r="AD244" s="1"/>
      <c r="AE244" s="1"/>
      <c r="AF244" s="1">
        <v>41733.25</v>
      </c>
      <c r="AG244" s="1"/>
      <c r="AH244" s="1"/>
      <c r="AI244" s="1"/>
      <c r="AJ244" s="1"/>
      <c r="AK244" s="1"/>
      <c r="AL244" s="1"/>
      <c r="AM244" s="1"/>
      <c r="AN244" s="1"/>
      <c r="AO244" s="1"/>
      <c r="AP244" s="1"/>
      <c r="AQ244" s="1"/>
      <c r="AR244" s="1"/>
      <c r="AS244" s="1"/>
      <c r="AT244" s="1"/>
      <c r="AU244" s="1"/>
      <c r="AV244" s="1"/>
      <c r="AW244" s="1"/>
      <c r="AX244" s="1"/>
      <c r="AY244" s="1"/>
      <c r="AZ244" s="1">
        <v>41905.25</v>
      </c>
      <c r="BA244" s="1"/>
      <c r="BB244" s="1"/>
      <c r="BC244" s="1"/>
      <c r="BD244" s="1"/>
      <c r="BE244" s="1"/>
      <c r="BF244" s="1"/>
      <c r="BG244" s="1"/>
      <c r="BH244" s="1"/>
      <c r="BI244" s="1"/>
      <c r="BJ244" s="1"/>
      <c r="BK244" s="1"/>
      <c r="BL244" s="1"/>
      <c r="BM244" s="1"/>
      <c r="BN244" s="1"/>
      <c r="BO244" s="1"/>
      <c r="BP244" s="1">
        <v>41905.25</v>
      </c>
      <c r="BQ244" s="1"/>
      <c r="BR244" s="1"/>
      <c r="BS244" s="1"/>
      <c r="BT244" s="1"/>
      <c r="BU244" s="1">
        <v>41946.25</v>
      </c>
      <c r="BV244" s="1"/>
      <c r="BW244" s="1"/>
      <c r="BX244" s="1"/>
      <c r="BY244" s="1">
        <v>41989.25</v>
      </c>
      <c r="BZ244" s="1"/>
      <c r="CA244" s="1"/>
      <c r="CB244" s="1"/>
      <c r="CC244" s="1"/>
      <c r="CD244" s="1"/>
      <c r="CE244" s="1"/>
      <c r="CF244" s="1"/>
      <c r="CG244" s="1"/>
      <c r="CH244" s="1"/>
      <c r="CI244" s="1"/>
      <c r="CJ244" s="1"/>
      <c r="CK244" s="1"/>
      <c r="CL244" s="1"/>
      <c r="CM244" s="1"/>
      <c r="CN244" s="1"/>
      <c r="CO244" s="1"/>
      <c r="CP244" s="1"/>
      <c r="CQ244" s="1"/>
      <c r="CR244" s="1">
        <v>42018.25</v>
      </c>
      <c r="CS244" s="1"/>
      <c r="CT244" s="1"/>
      <c r="CU244" s="1"/>
      <c r="CV244" s="1"/>
      <c r="CW244" s="1"/>
      <c r="CX244" s="1"/>
      <c r="CY244" s="1"/>
      <c r="CZ244" s="1"/>
      <c r="DA244" s="1">
        <v>42219.25</v>
      </c>
      <c r="DB244" s="1"/>
      <c r="DC244" s="1"/>
      <c r="DD244" s="1">
        <v>42305.208333333343</v>
      </c>
      <c r="DE244" s="1"/>
      <c r="DF244" s="1"/>
      <c r="DG244" s="1"/>
      <c r="DH244" s="1">
        <v>42314.25</v>
      </c>
      <c r="DI244" s="1"/>
      <c r="DJ244" s="1"/>
      <c r="DK244" s="1"/>
      <c r="DL244" s="1">
        <v>42318.25</v>
      </c>
      <c r="DM244" s="1"/>
      <c r="DN244" s="1"/>
      <c r="DO244" s="1"/>
      <c r="DP244" s="1"/>
      <c r="DQ244" s="1"/>
      <c r="DR244" s="1"/>
      <c r="DS244" s="1"/>
      <c r="DT244" s="1"/>
      <c r="DU244" s="1"/>
      <c r="DV244" s="1"/>
      <c r="DW244" s="1"/>
      <c r="DX244" s="1"/>
      <c r="DY244" s="1">
        <v>42318.25</v>
      </c>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row>
    <row r="245" spans="1:216" x14ac:dyDescent="0.3">
      <c r="A245" s="3" t="str">
        <f>HYPERLINK("https://hpr-rps.hres.ca/reg-content/summary-basis-decision-detailTwo.php?lang=en&amp;linkID=SBD00245", "Varithena")</f>
        <v>Varithena</v>
      </c>
      <c r="B245" s="1" t="s">
        <v>682</v>
      </c>
      <c r="C245" s="1" t="s">
        <v>683</v>
      </c>
      <c r="D245" s="1" t="s">
        <v>684</v>
      </c>
      <c r="E245" s="1">
        <v>41745.25</v>
      </c>
      <c r="F245" s="1"/>
      <c r="G245" s="1"/>
      <c r="H245" s="1">
        <v>41871.25</v>
      </c>
      <c r="I245" s="1"/>
      <c r="J245" s="1"/>
      <c r="K245" s="1"/>
      <c r="L245" s="1"/>
      <c r="M245" s="1"/>
      <c r="N245" s="1"/>
      <c r="O245" s="1"/>
      <c r="P245" s="1"/>
      <c r="Q245" s="1"/>
      <c r="R245" s="1"/>
      <c r="S245" s="1"/>
      <c r="T245" s="1"/>
      <c r="U245" s="1"/>
      <c r="V245" s="1"/>
      <c r="W245" s="1"/>
      <c r="X245" s="1"/>
      <c r="Y245" s="1"/>
      <c r="Z245" s="1"/>
      <c r="AA245" s="1"/>
      <c r="AB245" s="1"/>
      <c r="AC245" s="1"/>
      <c r="AD245" s="1"/>
      <c r="AE245" s="1"/>
      <c r="AF245" s="1">
        <v>41920.25</v>
      </c>
      <c r="AG245" s="1"/>
      <c r="AH245" s="1"/>
      <c r="AI245" s="1"/>
      <c r="AJ245" s="1"/>
      <c r="AK245" s="1"/>
      <c r="AL245" s="1"/>
      <c r="AM245" s="1"/>
      <c r="AN245" s="1"/>
      <c r="AO245" s="1"/>
      <c r="AP245" s="1"/>
      <c r="AQ245" s="1"/>
      <c r="AR245" s="1">
        <v>42216.25</v>
      </c>
      <c r="AS245" s="1"/>
      <c r="AT245" s="1"/>
      <c r="AU245" s="1"/>
      <c r="AV245" s="1">
        <v>42215.25</v>
      </c>
      <c r="AW245" s="1"/>
      <c r="AX245" s="1"/>
      <c r="AY245" s="1"/>
      <c r="AZ245" s="1">
        <v>42216.25</v>
      </c>
      <c r="BA245" s="1"/>
      <c r="BB245" s="1"/>
      <c r="BC245" s="1"/>
      <c r="BD245" s="1"/>
      <c r="BE245" s="1"/>
      <c r="BF245" s="1"/>
      <c r="BG245" s="1"/>
      <c r="BH245" s="1"/>
      <c r="BI245" s="1"/>
      <c r="BJ245" s="1"/>
      <c r="BK245" s="1"/>
      <c r="BL245" s="1"/>
      <c r="BM245" s="1">
        <v>42220.25</v>
      </c>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row>
    <row r="246" spans="1:216" x14ac:dyDescent="0.3">
      <c r="A246" s="3" t="str">
        <f>HYPERLINK("https://hpr-rps.hres.ca/reg-content/summary-basis-decision-detailTwo.php?lang=en&amp;linkID=SBD00246", "Viibryd")</f>
        <v>Viibryd</v>
      </c>
      <c r="B246" s="1" t="s">
        <v>685</v>
      </c>
      <c r="C246" s="1" t="s">
        <v>513</v>
      </c>
      <c r="D246" s="1" t="s">
        <v>686</v>
      </c>
      <c r="E246" s="1">
        <v>41136.25</v>
      </c>
      <c r="F246" s="1"/>
      <c r="G246" s="1"/>
      <c r="H246" s="1">
        <v>41849.25</v>
      </c>
      <c r="I246" s="1"/>
      <c r="J246" s="1"/>
      <c r="K246" s="1"/>
      <c r="L246" s="1"/>
      <c r="M246" s="1"/>
      <c r="N246" s="1"/>
      <c r="O246" s="1"/>
      <c r="P246" s="1"/>
      <c r="Q246" s="1"/>
      <c r="R246" s="1"/>
      <c r="S246" s="1"/>
      <c r="T246" s="1"/>
      <c r="U246" s="1"/>
      <c r="V246" s="1"/>
      <c r="W246" s="1"/>
      <c r="X246" s="1"/>
      <c r="Y246" s="1"/>
      <c r="Z246" s="1"/>
      <c r="AA246" s="1"/>
      <c r="AB246" s="1"/>
      <c r="AC246" s="1"/>
      <c r="AD246" s="1"/>
      <c r="AE246" s="1"/>
      <c r="AF246" s="1">
        <v>41901.25</v>
      </c>
      <c r="AG246" s="1"/>
      <c r="AH246" s="1"/>
      <c r="AI246" s="1"/>
      <c r="AJ246" s="1"/>
      <c r="AK246" s="1"/>
      <c r="AL246" s="1"/>
      <c r="AM246" s="1"/>
      <c r="AN246" s="1"/>
      <c r="AO246" s="1"/>
      <c r="AP246" s="1"/>
      <c r="AQ246" s="1"/>
      <c r="AR246" s="1">
        <v>42200.25</v>
      </c>
      <c r="AS246" s="1">
        <v>42122.25</v>
      </c>
      <c r="AT246" s="1"/>
      <c r="AU246" s="1"/>
      <c r="AV246" s="1">
        <v>42200.25</v>
      </c>
      <c r="AW246" s="1"/>
      <c r="AX246" s="1"/>
      <c r="AY246" s="1"/>
      <c r="AZ246" s="1">
        <v>42200.25</v>
      </c>
      <c r="BA246" s="1"/>
      <c r="BB246" s="1"/>
      <c r="BC246" s="1"/>
      <c r="BD246" s="1"/>
      <c r="BE246" s="1"/>
      <c r="BF246" s="1"/>
      <c r="BG246" s="1"/>
      <c r="BH246" s="1"/>
      <c r="BI246" s="1"/>
      <c r="BJ246" s="1"/>
      <c r="BK246" s="1"/>
      <c r="BL246" s="1"/>
      <c r="BM246" s="1">
        <v>42201.25</v>
      </c>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row>
    <row r="247" spans="1:216" x14ac:dyDescent="0.3">
      <c r="A247" s="3" t="str">
        <f>HYPERLINK("https://hpr-rps.hres.ca/reg-content/summary-basis-decision-detailTwo.php?lang=en&amp;linkID=SBD00247", "Zerbaxa")</f>
        <v>Zerbaxa</v>
      </c>
      <c r="B247" s="1" t="s">
        <v>687</v>
      </c>
      <c r="C247" s="1" t="s">
        <v>415</v>
      </c>
      <c r="D247" s="1" t="s">
        <v>688</v>
      </c>
      <c r="E247" s="1">
        <v>41808.25</v>
      </c>
      <c r="F247" s="1"/>
      <c r="G247" s="1"/>
      <c r="H247" s="1">
        <v>41897.25</v>
      </c>
      <c r="I247" s="1"/>
      <c r="J247" s="1"/>
      <c r="K247" s="1"/>
      <c r="L247" s="1"/>
      <c r="M247" s="1"/>
      <c r="N247" s="1"/>
      <c r="O247" s="1"/>
      <c r="P247" s="1"/>
      <c r="Q247" s="1"/>
      <c r="R247" s="1"/>
      <c r="S247" s="1"/>
      <c r="T247" s="1"/>
      <c r="U247" s="1"/>
      <c r="V247" s="1"/>
      <c r="W247" s="1"/>
      <c r="X247" s="1"/>
      <c r="Y247" s="1"/>
      <c r="Z247" s="1">
        <v>41950.25</v>
      </c>
      <c r="AA247" s="1"/>
      <c r="AB247" s="1"/>
      <c r="AC247" s="1">
        <v>41961.25</v>
      </c>
      <c r="AD247" s="1"/>
      <c r="AE247" s="1"/>
      <c r="AF247" s="1">
        <v>41977.25</v>
      </c>
      <c r="AG247" s="1"/>
      <c r="AH247" s="1"/>
      <c r="AI247" s="1"/>
      <c r="AJ247" s="1"/>
      <c r="AK247" s="1"/>
      <c r="AL247" s="1"/>
      <c r="AM247" s="1"/>
      <c r="AN247" s="1"/>
      <c r="AO247" s="1"/>
      <c r="AP247" s="1"/>
      <c r="AQ247" s="1"/>
      <c r="AR247" s="1">
        <v>42277.25</v>
      </c>
      <c r="AS247" s="1"/>
      <c r="AT247" s="1"/>
      <c r="AU247" s="1"/>
      <c r="AV247" s="1">
        <v>42277.25</v>
      </c>
      <c r="AW247" s="1"/>
      <c r="AX247" s="1"/>
      <c r="AY247" s="1"/>
      <c r="AZ247" s="1">
        <v>42277.25</v>
      </c>
      <c r="BA247" s="1"/>
      <c r="BB247" s="1"/>
      <c r="BC247" s="1"/>
      <c r="BD247" s="1"/>
      <c r="BE247" s="1"/>
      <c r="BF247" s="1"/>
      <c r="BG247" s="1"/>
      <c r="BH247" s="1"/>
      <c r="BI247" s="1"/>
      <c r="BJ247" s="1"/>
      <c r="BK247" s="1"/>
      <c r="BL247" s="1"/>
      <c r="BM247" s="1">
        <v>42277.25</v>
      </c>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row>
    <row r="248" spans="1:216" x14ac:dyDescent="0.3">
      <c r="A248" s="3" t="str">
        <f>HYPERLINK("https://hpr-rps.hres.ca/reg-content/summary-basis-decision-detailTwo.php?lang=en&amp;linkID=SBD00248", "Giotrif")</f>
        <v>Giotrif</v>
      </c>
      <c r="B248" s="1" t="s">
        <v>689</v>
      </c>
      <c r="C248" s="1" t="s">
        <v>105</v>
      </c>
      <c r="D248" s="1" t="s">
        <v>690</v>
      </c>
      <c r="E248" s="1">
        <v>41109.25</v>
      </c>
      <c r="F248" s="1"/>
      <c r="G248" s="1"/>
      <c r="H248" s="1">
        <v>41171.25</v>
      </c>
      <c r="I248" s="1"/>
      <c r="J248" s="1"/>
      <c r="K248" s="1"/>
      <c r="L248" s="1"/>
      <c r="M248" s="1"/>
      <c r="N248" s="1"/>
      <c r="O248" s="1"/>
      <c r="P248" s="1"/>
      <c r="Q248" s="1"/>
      <c r="R248" s="1"/>
      <c r="S248" s="1"/>
      <c r="T248" s="1"/>
      <c r="U248" s="1"/>
      <c r="V248" s="1"/>
      <c r="W248" s="1"/>
      <c r="X248" s="1"/>
      <c r="Y248" s="1"/>
      <c r="Z248" s="1">
        <v>41221.25</v>
      </c>
      <c r="AA248" s="1"/>
      <c r="AB248" s="1"/>
      <c r="AC248" s="1">
        <v>41236.25</v>
      </c>
      <c r="AD248" s="1"/>
      <c r="AE248" s="1"/>
      <c r="AF248" s="1">
        <v>40915.25</v>
      </c>
      <c r="AG248" s="1"/>
      <c r="AH248" s="1"/>
      <c r="AI248" s="1"/>
      <c r="AJ248" s="1"/>
      <c r="AK248" s="1"/>
      <c r="AL248" s="1"/>
      <c r="AM248" s="1"/>
      <c r="AN248" s="1"/>
      <c r="AO248" s="1">
        <v>41442.25</v>
      </c>
      <c r="AP248" s="1"/>
      <c r="AQ248" s="1"/>
      <c r="AR248" s="1">
        <v>41581.208333333343</v>
      </c>
      <c r="AS248" s="1">
        <v>41481.25</v>
      </c>
      <c r="AT248" s="1"/>
      <c r="AU248" s="1"/>
      <c r="AV248" s="1">
        <v>41547.25</v>
      </c>
      <c r="AW248" s="1"/>
      <c r="AX248" s="1"/>
      <c r="AY248" s="1"/>
      <c r="AZ248" s="1">
        <v>41581.208333333343</v>
      </c>
      <c r="BA248" s="1"/>
      <c r="BB248" s="1"/>
      <c r="BC248" s="1"/>
      <c r="BD248" s="1"/>
      <c r="BE248" s="1"/>
      <c r="BF248" s="1"/>
      <c r="BG248" s="1"/>
      <c r="BH248" s="1"/>
      <c r="BI248" s="1"/>
      <c r="BJ248" s="1"/>
      <c r="BK248" s="1"/>
      <c r="BL248" s="1"/>
      <c r="BM248" s="1">
        <v>41581.208333333343</v>
      </c>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row>
    <row r="249" spans="1:216" x14ac:dyDescent="0.3">
      <c r="A249" s="3" t="str">
        <f>HYPERLINK("https://hpr-rps.hres.ca/reg-content/summary-basis-decision-detailTwo.php?lang=en&amp;linkID=SBD00249", "Harvoni")</f>
        <v>Harvoni</v>
      </c>
      <c r="B249" s="1" t="s">
        <v>691</v>
      </c>
      <c r="C249" s="1" t="s">
        <v>134</v>
      </c>
      <c r="D249" s="1" t="s">
        <v>692</v>
      </c>
      <c r="E249" s="1">
        <v>41677.25</v>
      </c>
      <c r="F249" s="1"/>
      <c r="G249" s="1"/>
      <c r="H249" s="1"/>
      <c r="I249" s="1"/>
      <c r="J249" s="1"/>
      <c r="K249" s="1"/>
      <c r="L249" s="1"/>
      <c r="M249" s="1"/>
      <c r="N249" s="1">
        <v>41683.25</v>
      </c>
      <c r="O249" s="1"/>
      <c r="P249" s="1"/>
      <c r="Q249" s="1"/>
      <c r="R249" s="1"/>
      <c r="S249" s="1">
        <v>41716.208333333343</v>
      </c>
      <c r="T249" s="1"/>
      <c r="U249" s="1"/>
      <c r="V249" s="1">
        <v>41718.208333333343</v>
      </c>
      <c r="W249" s="1"/>
      <c r="X249" s="1"/>
      <c r="Y249" s="1"/>
      <c r="Z249" s="1"/>
      <c r="AA249" s="1"/>
      <c r="AB249" s="1"/>
      <c r="AC249" s="1"/>
      <c r="AD249" s="1"/>
      <c r="AE249" s="1"/>
      <c r="AF249" s="1">
        <v>41725.208333333343</v>
      </c>
      <c r="AG249" s="1"/>
      <c r="AH249" s="1"/>
      <c r="AI249" s="1"/>
      <c r="AJ249" s="1"/>
      <c r="AK249" s="1"/>
      <c r="AL249" s="1"/>
      <c r="AM249" s="1"/>
      <c r="AN249" s="1"/>
      <c r="AO249" s="1"/>
      <c r="AP249" s="1"/>
      <c r="AQ249" s="1"/>
      <c r="AR249" s="1">
        <v>41915.25</v>
      </c>
      <c r="AS249" s="1"/>
      <c r="AT249" s="1"/>
      <c r="AU249" s="1"/>
      <c r="AV249" s="1">
        <v>41906.25</v>
      </c>
      <c r="AW249" s="1"/>
      <c r="AX249" s="1"/>
      <c r="AY249" s="1"/>
      <c r="AZ249" s="1">
        <v>41922.25</v>
      </c>
      <c r="BA249" s="1"/>
      <c r="BB249" s="1"/>
      <c r="BC249" s="1"/>
      <c r="BD249" s="1"/>
      <c r="BE249" s="1"/>
      <c r="BF249" s="1"/>
      <c r="BG249" s="1"/>
      <c r="BH249" s="1"/>
      <c r="BI249" s="1"/>
      <c r="BJ249" s="1"/>
      <c r="BK249" s="1"/>
      <c r="BL249" s="1"/>
      <c r="BM249" s="1">
        <v>41927.25</v>
      </c>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row>
    <row r="250" spans="1:216" x14ac:dyDescent="0.3">
      <c r="A250" s="3" t="str">
        <f>HYPERLINK("https://hpr-rps.hres.ca/reg-content/summary-basis-decision-detailTwo.php?lang=en&amp;linkID=SBD00250", "Holkira Pak")</f>
        <v>Holkira Pak</v>
      </c>
      <c r="B250" s="1" t="s">
        <v>693</v>
      </c>
      <c r="C250" s="1" t="s">
        <v>694</v>
      </c>
      <c r="D250" s="1" t="s">
        <v>695</v>
      </c>
      <c r="E250" s="1">
        <v>41696.25</v>
      </c>
      <c r="F250" s="1"/>
      <c r="G250" s="1"/>
      <c r="H250" s="1"/>
      <c r="I250" s="1"/>
      <c r="J250" s="1"/>
      <c r="K250" s="1"/>
      <c r="L250" s="1"/>
      <c r="M250" s="1"/>
      <c r="N250" s="1">
        <v>41724.208333333343</v>
      </c>
      <c r="O250" s="1"/>
      <c r="P250" s="1"/>
      <c r="Q250" s="1"/>
      <c r="R250" s="1"/>
      <c r="S250" s="1">
        <v>41760.25</v>
      </c>
      <c r="T250" s="1"/>
      <c r="U250" s="1"/>
      <c r="V250" s="1">
        <v>41772.25</v>
      </c>
      <c r="W250" s="1"/>
      <c r="X250" s="1"/>
      <c r="Y250" s="1"/>
      <c r="Z250" s="1"/>
      <c r="AA250" s="1"/>
      <c r="AB250" s="1"/>
      <c r="AC250" s="1"/>
      <c r="AD250" s="1"/>
      <c r="AE250" s="1"/>
      <c r="AF250" s="1">
        <v>41816.25</v>
      </c>
      <c r="AG250" s="1"/>
      <c r="AH250" s="1"/>
      <c r="AI250" s="1"/>
      <c r="AJ250" s="1"/>
      <c r="AK250" s="1"/>
      <c r="AL250" s="1"/>
      <c r="AM250" s="1"/>
      <c r="AN250" s="1"/>
      <c r="AO250" s="1"/>
      <c r="AP250" s="1"/>
      <c r="AQ250" s="1"/>
      <c r="AR250" s="1">
        <v>41992.25</v>
      </c>
      <c r="AS250" s="1"/>
      <c r="AT250" s="1"/>
      <c r="AU250" s="1"/>
      <c r="AV250" s="1">
        <v>41991.25</v>
      </c>
      <c r="AW250" s="1"/>
      <c r="AX250" s="1"/>
      <c r="AY250" s="1"/>
      <c r="AZ250" s="1">
        <v>41992.25</v>
      </c>
      <c r="BA250" s="1"/>
      <c r="BB250" s="1"/>
      <c r="BC250" s="1"/>
      <c r="BD250" s="1"/>
      <c r="BE250" s="1"/>
      <c r="BF250" s="1"/>
      <c r="BG250" s="1"/>
      <c r="BH250" s="1"/>
      <c r="BI250" s="1"/>
      <c r="BJ250" s="1"/>
      <c r="BK250" s="1"/>
      <c r="BL250" s="1"/>
      <c r="BM250" s="1">
        <v>41995.25</v>
      </c>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row>
    <row r="251" spans="1:216" x14ac:dyDescent="0.3">
      <c r="A251" s="3" t="str">
        <f>HYPERLINK("https://hpr-rps.hres.ca/reg-content/summary-basis-decision-detailTwo.php?lang=en&amp;linkID=SBD00252", "Imbruvica")</f>
        <v>Imbruvica</v>
      </c>
      <c r="B251" s="1" t="s">
        <v>696</v>
      </c>
      <c r="C251" s="1" t="s">
        <v>201</v>
      </c>
      <c r="D251" s="1" t="s">
        <v>697</v>
      </c>
      <c r="E251" s="1">
        <v>41711.208333333343</v>
      </c>
      <c r="F251" s="1"/>
      <c r="G251" s="1"/>
      <c r="H251" s="1"/>
      <c r="I251" s="1"/>
      <c r="J251" s="1"/>
      <c r="K251" s="1"/>
      <c r="L251" s="1"/>
      <c r="M251" s="1"/>
      <c r="N251" s="1">
        <v>41711.208333333343</v>
      </c>
      <c r="O251" s="1"/>
      <c r="P251" s="1"/>
      <c r="Q251" s="1"/>
      <c r="R251" s="1"/>
      <c r="S251" s="1">
        <v>41743.25</v>
      </c>
      <c r="T251" s="1"/>
      <c r="U251" s="1"/>
      <c r="V251" s="1">
        <v>41746.25</v>
      </c>
      <c r="W251" s="1"/>
      <c r="X251" s="1"/>
      <c r="Y251" s="1"/>
      <c r="Z251" s="1"/>
      <c r="AA251" s="1"/>
      <c r="AB251" s="1"/>
      <c r="AC251" s="1"/>
      <c r="AD251" s="1"/>
      <c r="AE251" s="1"/>
      <c r="AF251" s="1">
        <v>41780.25</v>
      </c>
      <c r="AG251" s="1"/>
      <c r="AH251" s="1"/>
      <c r="AI251" s="1"/>
      <c r="AJ251" s="1"/>
      <c r="AK251" s="1"/>
      <c r="AL251" s="1"/>
      <c r="AM251" s="1"/>
      <c r="AN251" s="1"/>
      <c r="AO251" s="1"/>
      <c r="AP251" s="1"/>
      <c r="AQ251" s="1"/>
      <c r="AR251" s="1">
        <v>41953.25</v>
      </c>
      <c r="AS251" s="1">
        <v>41873.25</v>
      </c>
      <c r="AT251" s="1"/>
      <c r="AU251" s="1"/>
      <c r="AV251" s="1">
        <v>41928.25</v>
      </c>
      <c r="AW251" s="1"/>
      <c r="AX251" s="1">
        <v>41886.25</v>
      </c>
      <c r="AY251" s="1"/>
      <c r="AZ251" s="1">
        <v>41960.25</v>
      </c>
      <c r="BA251" s="1"/>
      <c r="BB251" s="1"/>
      <c r="BC251" s="1"/>
      <c r="BD251" s="1"/>
      <c r="BE251" s="1"/>
      <c r="BF251" s="1"/>
      <c r="BG251" s="1"/>
      <c r="BH251" s="1"/>
      <c r="BI251" s="1"/>
      <c r="BJ251" s="1"/>
      <c r="BK251" s="1"/>
      <c r="BL251" s="1"/>
      <c r="BM251" s="1">
        <v>41960.25</v>
      </c>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row>
    <row r="252" spans="1:216" x14ac:dyDescent="0.3">
      <c r="A252" s="3" t="str">
        <f>HYPERLINK("https://hpr-rps.hres.ca/reg-content/summary-basis-decision-detailTwo.php?lang=en&amp;linkID=SBD00253", "Inflectra")</f>
        <v>Inflectra</v>
      </c>
      <c r="B252" s="1" t="s">
        <v>698</v>
      </c>
      <c r="C252" s="1" t="s">
        <v>699</v>
      </c>
      <c r="D252" s="1" t="s">
        <v>700</v>
      </c>
      <c r="E252" s="1">
        <v>40830.25</v>
      </c>
      <c r="F252" s="1"/>
      <c r="G252" s="1"/>
      <c r="H252" s="1">
        <v>41227.25</v>
      </c>
      <c r="I252" s="1"/>
      <c r="J252" s="1"/>
      <c r="K252" s="1"/>
      <c r="L252" s="1"/>
      <c r="M252" s="1"/>
      <c r="N252" s="1"/>
      <c r="O252" s="1"/>
      <c r="P252" s="1"/>
      <c r="Q252" s="1"/>
      <c r="R252" s="1"/>
      <c r="S252" s="1"/>
      <c r="T252" s="1"/>
      <c r="U252" s="1"/>
      <c r="V252" s="1"/>
      <c r="W252" s="1"/>
      <c r="X252" s="1"/>
      <c r="Y252" s="1"/>
      <c r="Z252" s="1">
        <v>41288.25</v>
      </c>
      <c r="AA252" s="1"/>
      <c r="AB252" s="1"/>
      <c r="AC252" s="1">
        <v>41309.25</v>
      </c>
      <c r="AD252" s="1"/>
      <c r="AE252" s="1"/>
      <c r="AF252" s="1">
        <v>41354.208333333343</v>
      </c>
      <c r="AG252" s="1"/>
      <c r="AH252" s="1"/>
      <c r="AI252" s="1"/>
      <c r="AJ252" s="1"/>
      <c r="AK252" s="1"/>
      <c r="AL252" s="1"/>
      <c r="AM252" s="1"/>
      <c r="AN252" s="1"/>
      <c r="AO252" s="1">
        <v>41603.25</v>
      </c>
      <c r="AP252" s="1"/>
      <c r="AQ252" s="1"/>
      <c r="AR252" s="1">
        <v>41654.25</v>
      </c>
      <c r="AS252" s="1"/>
      <c r="AT252" s="1"/>
      <c r="AU252" s="1"/>
      <c r="AV252" s="1">
        <v>41654.25</v>
      </c>
      <c r="AW252" s="1"/>
      <c r="AX252" s="1"/>
      <c r="AY252" s="1"/>
      <c r="AZ252" s="1">
        <v>41654.25</v>
      </c>
      <c r="BA252" s="1"/>
      <c r="BB252" s="1"/>
      <c r="BC252" s="1"/>
      <c r="BD252" s="1"/>
      <c r="BE252" s="1"/>
      <c r="BF252" s="1"/>
      <c r="BG252" s="1"/>
      <c r="BH252" s="1"/>
      <c r="BI252" s="1"/>
      <c r="BJ252" s="1"/>
      <c r="BK252" s="1"/>
      <c r="BL252" s="1"/>
      <c r="BM252" s="1">
        <v>41654.25</v>
      </c>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row>
    <row r="253" spans="1:216" x14ac:dyDescent="0.3">
      <c r="A253" s="3" t="str">
        <f>HYPERLINK("https://hpr-rps.hres.ca/reg-content/summary-basis-decision-detailTwo.php?lang=en&amp;linkID=SBD00254", "Intuniv XR")</f>
        <v>Intuniv XR</v>
      </c>
      <c r="B253" s="1" t="s">
        <v>701</v>
      </c>
      <c r="C253" s="1" t="s">
        <v>702</v>
      </c>
      <c r="D253" s="1" t="s">
        <v>703</v>
      </c>
      <c r="E253" s="1">
        <v>40255.208333333343</v>
      </c>
      <c r="F253" s="1"/>
      <c r="G253" s="1"/>
      <c r="H253" s="1">
        <v>40834.25</v>
      </c>
      <c r="I253" s="1"/>
      <c r="J253" s="1"/>
      <c r="K253" s="1"/>
      <c r="L253" s="1"/>
      <c r="M253" s="1"/>
      <c r="N253" s="1"/>
      <c r="O253" s="1"/>
      <c r="P253" s="1"/>
      <c r="Q253" s="1"/>
      <c r="R253" s="1"/>
      <c r="S253" s="1"/>
      <c r="T253" s="1"/>
      <c r="U253" s="1"/>
      <c r="V253" s="1"/>
      <c r="W253" s="1"/>
      <c r="X253" s="1"/>
      <c r="Y253" s="1"/>
      <c r="Z253" s="1"/>
      <c r="AA253" s="1"/>
      <c r="AB253" s="1"/>
      <c r="AC253" s="1"/>
      <c r="AD253" s="1"/>
      <c r="AE253" s="1"/>
      <c r="AF253" s="1">
        <v>40893.25</v>
      </c>
      <c r="AG253" s="1"/>
      <c r="AH253" s="1"/>
      <c r="AI253" s="1"/>
      <c r="AJ253" s="1"/>
      <c r="AK253" s="1"/>
      <c r="AL253" s="1"/>
      <c r="AM253" s="1"/>
      <c r="AN253" s="1"/>
      <c r="AO253" s="1"/>
      <c r="AP253" s="1"/>
      <c r="AQ253" s="1"/>
      <c r="AR253" s="1">
        <v>41184.25</v>
      </c>
      <c r="AS253" s="1">
        <v>41162.25</v>
      </c>
      <c r="AT253" s="1"/>
      <c r="AU253" s="1"/>
      <c r="AV253" s="1">
        <v>41178.25</v>
      </c>
      <c r="AW253" s="1"/>
      <c r="AX253" s="1"/>
      <c r="AY253" s="1"/>
      <c r="AZ253" s="1">
        <v>41184.25</v>
      </c>
      <c r="BA253" s="1"/>
      <c r="BB253" s="1"/>
      <c r="BC253" s="1"/>
      <c r="BD253" s="1"/>
      <c r="BE253" s="1"/>
      <c r="BF253" s="1"/>
      <c r="BG253" s="1"/>
      <c r="BH253" s="1"/>
      <c r="BI253" s="1"/>
      <c r="BJ253" s="1"/>
      <c r="BK253" s="1"/>
      <c r="BL253" s="1"/>
      <c r="BM253" s="1"/>
      <c r="BN253" s="1"/>
      <c r="BO253" s="1"/>
      <c r="BP253" s="1"/>
      <c r="BQ253" s="1"/>
      <c r="BR253" s="1"/>
      <c r="BS253" s="1"/>
      <c r="BT253" s="1">
        <v>41185.25</v>
      </c>
      <c r="BU253" s="1"/>
      <c r="BV253" s="1"/>
      <c r="BW253" s="1"/>
      <c r="BX253" s="1"/>
      <c r="BY253" s="1">
        <v>41264.25</v>
      </c>
      <c r="BZ253" s="1"/>
      <c r="CA253" s="1"/>
      <c r="CB253" s="1"/>
      <c r="CC253" s="1"/>
      <c r="CD253" s="1"/>
      <c r="CE253" s="1"/>
      <c r="CF253" s="1"/>
      <c r="CG253" s="1"/>
      <c r="CH253" s="1"/>
      <c r="CI253" s="1"/>
      <c r="CJ253" s="1"/>
      <c r="CK253" s="1"/>
      <c r="CL253" s="1"/>
      <c r="CM253" s="1"/>
      <c r="CN253" s="1"/>
      <c r="CO253" s="1"/>
      <c r="CP253" s="1"/>
      <c r="CQ253" s="1"/>
      <c r="CR253" s="1">
        <v>41311.25</v>
      </c>
      <c r="CS253" s="1"/>
      <c r="CT253" s="1"/>
      <c r="CU253" s="1"/>
      <c r="CV253" s="1"/>
      <c r="CW253" s="1"/>
      <c r="CX253" s="1"/>
      <c r="CY253" s="1"/>
      <c r="CZ253" s="1"/>
      <c r="DA253" s="1"/>
      <c r="DB253" s="1"/>
      <c r="DC253" s="1"/>
      <c r="DD253" s="1">
        <v>41457.25</v>
      </c>
      <c r="DE253" s="1"/>
      <c r="DF253" s="1"/>
      <c r="DG253" s="1"/>
      <c r="DH253" s="1"/>
      <c r="DI253" s="1"/>
      <c r="DJ253" s="1"/>
      <c r="DK253" s="1"/>
      <c r="DL253" s="1">
        <v>41459.25</v>
      </c>
      <c r="DM253" s="1"/>
      <c r="DN253" s="1"/>
      <c r="DO253" s="1"/>
      <c r="DP253" s="1"/>
      <c r="DQ253" s="1"/>
      <c r="DR253" s="1"/>
      <c r="DS253" s="1"/>
      <c r="DT253" s="1"/>
      <c r="DU253" s="1"/>
      <c r="DV253" s="1"/>
      <c r="DW253" s="1"/>
      <c r="DX253" s="1"/>
      <c r="DY253" s="1">
        <v>41460.25</v>
      </c>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row>
    <row r="254" spans="1:216" x14ac:dyDescent="0.3">
      <c r="A254" s="3" t="str">
        <f>HYPERLINK("https://hpr-rps.hres.ca/reg-content/summary-basis-decision-detailTwo.php?lang=en&amp;linkID=SBD00255", "Invokana")</f>
        <v>Invokana</v>
      </c>
      <c r="B254" s="1" t="s">
        <v>704</v>
      </c>
      <c r="C254" s="1" t="s">
        <v>201</v>
      </c>
      <c r="D254" s="1" t="s">
        <v>705</v>
      </c>
      <c r="E254" s="1">
        <v>41064.25</v>
      </c>
      <c r="F254" s="1"/>
      <c r="G254" s="1"/>
      <c r="H254" s="1">
        <v>41117.25</v>
      </c>
      <c r="I254" s="1"/>
      <c r="J254" s="1"/>
      <c r="K254" s="1"/>
      <c r="L254" s="1"/>
      <c r="M254" s="1"/>
      <c r="N254" s="1"/>
      <c r="O254" s="1"/>
      <c r="P254" s="1"/>
      <c r="Q254" s="1"/>
      <c r="R254" s="1"/>
      <c r="S254" s="1"/>
      <c r="T254" s="1"/>
      <c r="U254" s="1"/>
      <c r="V254" s="1"/>
      <c r="W254" s="1"/>
      <c r="X254" s="1"/>
      <c r="Y254" s="1"/>
      <c r="Z254" s="1"/>
      <c r="AA254" s="1"/>
      <c r="AB254" s="1"/>
      <c r="AC254" s="1"/>
      <c r="AD254" s="1"/>
      <c r="AE254" s="1"/>
      <c r="AF254" s="1">
        <v>41165.25</v>
      </c>
      <c r="AG254" s="1"/>
      <c r="AH254" s="1"/>
      <c r="AI254" s="1"/>
      <c r="AJ254" s="1"/>
      <c r="AK254" s="1"/>
      <c r="AL254" s="1"/>
      <c r="AM254" s="1"/>
      <c r="AN254" s="1"/>
      <c r="AO254" s="1"/>
      <c r="AP254" s="1"/>
      <c r="AQ254" s="1"/>
      <c r="AR254" s="1"/>
      <c r="AS254" s="1">
        <v>41389.25</v>
      </c>
      <c r="AT254" s="1"/>
      <c r="AU254" s="1"/>
      <c r="AV254" s="1">
        <v>41453.25</v>
      </c>
      <c r="AW254" s="1"/>
      <c r="AX254" s="1">
        <v>41395.25</v>
      </c>
      <c r="AY254" s="1"/>
      <c r="AZ254" s="1">
        <v>41463.25</v>
      </c>
      <c r="BA254" s="1"/>
      <c r="BB254" s="1"/>
      <c r="BC254" s="1"/>
      <c r="BD254" s="1"/>
      <c r="BE254" s="1"/>
      <c r="BF254" s="1"/>
      <c r="BG254" s="1"/>
      <c r="BH254" s="1"/>
      <c r="BI254" s="1"/>
      <c r="BJ254" s="1"/>
      <c r="BK254" s="1"/>
      <c r="BL254" s="1"/>
      <c r="BM254" s="1"/>
      <c r="BN254" s="1"/>
      <c r="BO254" s="1"/>
      <c r="BP254" s="1"/>
      <c r="BQ254" s="1"/>
      <c r="BR254" s="1"/>
      <c r="BS254" s="1"/>
      <c r="BT254" s="1">
        <v>41465.25</v>
      </c>
      <c r="BU254" s="1"/>
      <c r="BV254" s="1"/>
      <c r="BW254" s="1"/>
      <c r="BX254" s="1"/>
      <c r="BY254" s="1">
        <v>41585.25</v>
      </c>
      <c r="BZ254" s="1"/>
      <c r="CA254" s="1"/>
      <c r="CB254" s="1"/>
      <c r="CC254" s="1"/>
      <c r="CD254" s="1"/>
      <c r="CE254" s="1"/>
      <c r="CF254" s="1"/>
      <c r="CG254" s="1"/>
      <c r="CH254" s="1"/>
      <c r="CI254" s="1"/>
      <c r="CJ254" s="1"/>
      <c r="CK254" s="1"/>
      <c r="CL254" s="1"/>
      <c r="CM254" s="1"/>
      <c r="CN254" s="1"/>
      <c r="CO254" s="1"/>
      <c r="CP254" s="1"/>
      <c r="CQ254" s="1"/>
      <c r="CR254" s="1">
        <v>41632.25</v>
      </c>
      <c r="CS254" s="1"/>
      <c r="CT254" s="1"/>
      <c r="CU254" s="1"/>
      <c r="CV254" s="1"/>
      <c r="CW254" s="1"/>
      <c r="CX254" s="1"/>
      <c r="CY254" s="1"/>
      <c r="CZ254" s="1"/>
      <c r="DA254" s="1"/>
      <c r="DB254" s="1"/>
      <c r="DC254" s="1"/>
      <c r="DD254" s="1">
        <v>41781.25</v>
      </c>
      <c r="DE254" s="1"/>
      <c r="DF254" s="1"/>
      <c r="DG254" s="1"/>
      <c r="DH254" s="1"/>
      <c r="DI254" s="1"/>
      <c r="DJ254" s="1"/>
      <c r="DK254" s="1"/>
      <c r="DL254" s="1">
        <v>41781.25</v>
      </c>
      <c r="DM254" s="1"/>
      <c r="DN254" s="1"/>
      <c r="DO254" s="1"/>
      <c r="DP254" s="1"/>
      <c r="DQ254" s="1"/>
      <c r="DR254" s="1"/>
      <c r="DS254" s="1"/>
      <c r="DT254" s="1"/>
      <c r="DU254" s="1"/>
      <c r="DV254" s="1"/>
      <c r="DW254" s="1"/>
      <c r="DX254" s="1"/>
      <c r="DY254" s="1">
        <v>41782.25</v>
      </c>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row>
    <row r="255" spans="1:216" x14ac:dyDescent="0.3">
      <c r="A255" s="3" t="str">
        <f>HYPERLINK("https://hpr-rps.hres.ca/reg-content/summary-basis-decision-detailTwo.php?lang=en&amp;linkID=SBD00256", "Istodax")</f>
        <v>Istodax</v>
      </c>
      <c r="B255" s="1" t="s">
        <v>706</v>
      </c>
      <c r="C255" s="1" t="s">
        <v>665</v>
      </c>
      <c r="D255" s="1" t="s">
        <v>707</v>
      </c>
      <c r="E255" s="1"/>
      <c r="F255" s="1"/>
      <c r="G255" s="1"/>
      <c r="H255" s="1">
        <v>40897.25</v>
      </c>
      <c r="I255" s="1"/>
      <c r="J255" s="1"/>
      <c r="K255" s="1"/>
      <c r="L255" s="1"/>
      <c r="M255" s="1"/>
      <c r="N255" s="1"/>
      <c r="O255" s="1"/>
      <c r="P255" s="1"/>
      <c r="Q255" s="1"/>
      <c r="R255" s="1"/>
      <c r="S255" s="1"/>
      <c r="T255" s="1"/>
      <c r="U255" s="1"/>
      <c r="V255" s="1"/>
      <c r="W255" s="1"/>
      <c r="X255" s="1"/>
      <c r="Y255" s="1"/>
      <c r="Z255" s="1"/>
      <c r="AA255" s="1"/>
      <c r="AB255" s="1"/>
      <c r="AC255" s="1"/>
      <c r="AD255" s="1"/>
      <c r="AE255" s="1"/>
      <c r="AF255" s="1">
        <v>40949.25</v>
      </c>
      <c r="AG255" s="1"/>
      <c r="AH255" s="1"/>
      <c r="AI255" s="1"/>
      <c r="AJ255" s="1"/>
      <c r="AK255" s="1"/>
      <c r="AL255" s="1"/>
      <c r="AM255" s="1"/>
      <c r="AN255" s="1"/>
      <c r="AO255" s="1"/>
      <c r="AP255" s="1"/>
      <c r="AQ255" s="1"/>
      <c r="AR255" s="1"/>
      <c r="AS255" s="1"/>
      <c r="AT255" s="1"/>
      <c r="AU255" s="1"/>
      <c r="AV255" s="1">
        <v>41241.25</v>
      </c>
      <c r="AW255" s="1"/>
      <c r="AX255" s="1">
        <v>41109.25</v>
      </c>
      <c r="AY255" s="1"/>
      <c r="AZ255" s="1">
        <v>41243.25</v>
      </c>
      <c r="BA255" s="1"/>
      <c r="BB255" s="1"/>
      <c r="BC255" s="1"/>
      <c r="BD255" s="1"/>
      <c r="BE255" s="1"/>
      <c r="BF255" s="1"/>
      <c r="BG255" s="1"/>
      <c r="BH255" s="1"/>
      <c r="BI255" s="1"/>
      <c r="BJ255" s="1"/>
      <c r="BK255" s="1"/>
      <c r="BL255" s="1"/>
      <c r="BM255" s="1"/>
      <c r="BN255" s="1"/>
      <c r="BO255" s="1"/>
      <c r="BP255" s="1"/>
      <c r="BQ255" s="1"/>
      <c r="BR255" s="1"/>
      <c r="BS255" s="1"/>
      <c r="BT255" s="1">
        <v>41246.25</v>
      </c>
      <c r="BU255" s="1"/>
      <c r="BV255" s="1"/>
      <c r="BW255" s="1"/>
      <c r="BX255" s="1"/>
      <c r="BY255" s="1">
        <v>41337.25</v>
      </c>
      <c r="BZ255" s="1"/>
      <c r="CA255" s="1"/>
      <c r="CB255" s="1"/>
      <c r="CC255" s="1"/>
      <c r="CD255" s="1"/>
      <c r="CE255" s="1"/>
      <c r="CF255" s="1"/>
      <c r="CG255" s="1"/>
      <c r="CH255" s="1"/>
      <c r="CI255" s="1"/>
      <c r="CJ255" s="1"/>
      <c r="CK255" s="1"/>
      <c r="CL255" s="1"/>
      <c r="CM255" s="1"/>
      <c r="CN255" s="1"/>
      <c r="CO255" s="1"/>
      <c r="CP255" s="1"/>
      <c r="CQ255" s="1"/>
      <c r="CR255" s="1">
        <v>41382.25</v>
      </c>
      <c r="CS255" s="1"/>
      <c r="CT255" s="1"/>
      <c r="CU255" s="1"/>
      <c r="CV255" s="1"/>
      <c r="CW255" s="1"/>
      <c r="CX255" s="1"/>
      <c r="CY255" s="1"/>
      <c r="CZ255" s="1"/>
      <c r="DA255" s="1"/>
      <c r="DB255" s="1"/>
      <c r="DC255" s="1"/>
      <c r="DD255" s="1">
        <v>41523.25</v>
      </c>
      <c r="DE255" s="1"/>
      <c r="DF255" s="1"/>
      <c r="DG255" s="1"/>
      <c r="DH255" s="1">
        <v>41506.25</v>
      </c>
      <c r="DI255" s="1"/>
      <c r="DJ255" s="1">
        <v>41501.25</v>
      </c>
      <c r="DK255" s="1"/>
      <c r="DL255" s="1">
        <v>41523.25</v>
      </c>
      <c r="DM255" s="1"/>
      <c r="DN255" s="1"/>
      <c r="DO255" s="1"/>
      <c r="DP255" s="1"/>
      <c r="DQ255" s="1"/>
      <c r="DR255" s="1"/>
      <c r="DS255" s="1"/>
      <c r="DT255" s="1"/>
      <c r="DU255" s="1"/>
      <c r="DV255" s="1"/>
      <c r="DW255" s="1"/>
      <c r="DX255" s="1">
        <v>41526.25</v>
      </c>
      <c r="DY255" s="1">
        <v>41563.25</v>
      </c>
      <c r="DZ255" s="1"/>
      <c r="EA255" s="1"/>
      <c r="EB255" s="1"/>
      <c r="EC255" s="1"/>
      <c r="ED255" s="1"/>
      <c r="EE255" s="1"/>
      <c r="EF255" s="1"/>
      <c r="EG255" s="1"/>
      <c r="EH255" s="1"/>
      <c r="EI255" s="1"/>
      <c r="EJ255" s="1"/>
      <c r="EK255" s="1">
        <v>41529.25</v>
      </c>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row>
    <row r="256" spans="1:216" x14ac:dyDescent="0.3">
      <c r="A256" s="3" t="str">
        <f>HYPERLINK("https://hpr-rps.hres.ca/reg-content/summary-basis-decision-detailTwo.php?lang=en&amp;linkID=SBD00257", "Jardiance")</f>
        <v>Jardiance</v>
      </c>
      <c r="B256" s="1" t="s">
        <v>708</v>
      </c>
      <c r="C256" s="1" t="s">
        <v>105</v>
      </c>
      <c r="D256" s="1" t="s">
        <v>709</v>
      </c>
      <c r="E256" s="1"/>
      <c r="F256" s="1"/>
      <c r="G256" s="1"/>
      <c r="H256" s="1">
        <v>41381.25</v>
      </c>
      <c r="I256" s="1"/>
      <c r="J256" s="1"/>
      <c r="K256" s="1"/>
      <c r="L256" s="1"/>
      <c r="M256" s="1"/>
      <c r="N256" s="1"/>
      <c r="O256" s="1"/>
      <c r="P256" s="1"/>
      <c r="Q256" s="1"/>
      <c r="R256" s="1"/>
      <c r="S256" s="1"/>
      <c r="T256" s="1"/>
      <c r="U256" s="1"/>
      <c r="V256" s="1"/>
      <c r="W256" s="1"/>
      <c r="X256" s="1"/>
      <c r="Y256" s="1"/>
      <c r="Z256" s="1"/>
      <c r="AA256" s="1"/>
      <c r="AB256" s="1"/>
      <c r="AC256" s="1"/>
      <c r="AD256" s="1"/>
      <c r="AE256" s="1"/>
      <c r="AF256" s="1">
        <v>41438.25</v>
      </c>
      <c r="AG256" s="1"/>
      <c r="AH256" s="1"/>
      <c r="AI256" s="1"/>
      <c r="AJ256" s="1"/>
      <c r="AK256" s="1"/>
      <c r="AL256" s="1"/>
      <c r="AM256" s="1"/>
      <c r="AN256" s="1">
        <v>41786.25</v>
      </c>
      <c r="AO256" s="1"/>
      <c r="AP256" s="1"/>
      <c r="AQ256" s="1"/>
      <c r="AR256" s="1"/>
      <c r="AS256" s="1">
        <v>41663.25</v>
      </c>
      <c r="AT256" s="1"/>
      <c r="AU256" s="1"/>
      <c r="AV256" s="1">
        <v>41736.25</v>
      </c>
      <c r="AW256" s="1"/>
      <c r="AX256" s="1"/>
      <c r="AY256" s="1"/>
      <c r="AZ256" s="1">
        <v>41723.208333333343</v>
      </c>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v>41884.25</v>
      </c>
      <c r="BZ256" s="1"/>
      <c r="CA256" s="1"/>
      <c r="CB256" s="1"/>
      <c r="CC256" s="1"/>
      <c r="CD256" s="1"/>
      <c r="CE256" s="1"/>
      <c r="CF256" s="1"/>
      <c r="CG256" s="1"/>
      <c r="CH256" s="1"/>
      <c r="CI256" s="1"/>
      <c r="CJ256" s="1"/>
      <c r="CK256" s="1"/>
      <c r="CL256" s="1"/>
      <c r="CM256" s="1"/>
      <c r="CN256" s="1"/>
      <c r="CO256" s="1"/>
      <c r="CP256" s="1"/>
      <c r="CQ256" s="1"/>
      <c r="CR256" s="1">
        <v>41908.25</v>
      </c>
      <c r="CS256" s="1"/>
      <c r="CT256" s="1"/>
      <c r="CU256" s="1"/>
      <c r="CV256" s="1"/>
      <c r="CW256" s="1"/>
      <c r="CX256" s="1"/>
      <c r="CY256" s="1"/>
      <c r="CZ256" s="1"/>
      <c r="DA256" s="1"/>
      <c r="DB256" s="1"/>
      <c r="DC256" s="1"/>
      <c r="DD256" s="1">
        <v>42208.25</v>
      </c>
      <c r="DE256" s="1"/>
      <c r="DF256" s="1"/>
      <c r="DG256" s="1"/>
      <c r="DH256" s="1">
        <v>42195.25</v>
      </c>
      <c r="DI256" s="1"/>
      <c r="DJ256" s="1"/>
      <c r="DK256" s="1"/>
      <c r="DL256" s="1">
        <v>42207.25</v>
      </c>
      <c r="DM256" s="1"/>
      <c r="DN256" s="1"/>
      <c r="DO256" s="1"/>
      <c r="DP256" s="1"/>
      <c r="DQ256" s="1"/>
      <c r="DR256" s="1"/>
      <c r="DS256" s="1"/>
      <c r="DT256" s="1"/>
      <c r="DU256" s="1"/>
      <c r="DV256" s="1"/>
      <c r="DW256" s="1"/>
      <c r="DX256" s="1"/>
      <c r="DY256" s="1">
        <v>42208.25</v>
      </c>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row>
    <row r="257" spans="1:216" x14ac:dyDescent="0.3">
      <c r="A257" s="3" t="str">
        <f>HYPERLINK("https://hpr-rps.hres.ca/reg-content/summary-basis-decision-detailTwo.php?lang=en&amp;linkID=SBD00258", "Jetrea")</f>
        <v>Jetrea</v>
      </c>
      <c r="B257" s="1" t="s">
        <v>710</v>
      </c>
      <c r="C257" s="1" t="s">
        <v>535</v>
      </c>
      <c r="D257" s="1" t="s">
        <v>711</v>
      </c>
      <c r="E257" s="1">
        <v>41184.25</v>
      </c>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v>41254.25</v>
      </c>
      <c r="BH257" s="1"/>
      <c r="BI257" s="1"/>
      <c r="BJ257" s="1"/>
      <c r="BK257" s="1"/>
      <c r="BL257" s="1">
        <v>41228.25</v>
      </c>
      <c r="BM257" s="1"/>
      <c r="BN257" s="1"/>
      <c r="BO257" s="1"/>
      <c r="BP257" s="1"/>
      <c r="BQ257" s="1"/>
      <c r="BR257" s="1"/>
      <c r="BS257" s="1"/>
      <c r="BT257" s="1"/>
      <c r="BU257" s="1"/>
      <c r="BV257" s="1"/>
      <c r="BW257" s="1"/>
      <c r="BX257" s="1"/>
      <c r="BY257" s="1"/>
      <c r="BZ257" s="1"/>
      <c r="CA257" s="1">
        <v>41320.25</v>
      </c>
      <c r="CB257" s="1"/>
      <c r="CC257" s="1"/>
      <c r="CD257" s="1"/>
      <c r="CE257" s="1"/>
      <c r="CF257" s="1"/>
      <c r="CG257" s="1"/>
      <c r="CH257" s="1"/>
      <c r="CI257" s="1"/>
      <c r="CJ257" s="1"/>
      <c r="CK257" s="1"/>
      <c r="CL257" s="1"/>
      <c r="CM257" s="1">
        <v>41494.25</v>
      </c>
      <c r="CN257" s="1"/>
      <c r="CO257" s="1"/>
      <c r="CP257" s="1"/>
      <c r="CQ257" s="1">
        <v>41498.25</v>
      </c>
      <c r="CR257" s="1"/>
      <c r="CS257" s="1"/>
      <c r="CT257" s="1"/>
      <c r="CU257" s="1">
        <v>41498.25</v>
      </c>
      <c r="CV257" s="1"/>
      <c r="CW257" s="1"/>
      <c r="CX257" s="1"/>
      <c r="CY257" s="1"/>
      <c r="CZ257" s="1"/>
      <c r="DA257" s="1"/>
      <c r="DB257" s="1"/>
      <c r="DC257" s="1"/>
      <c r="DD257" s="1"/>
      <c r="DE257" s="1"/>
      <c r="DF257" s="1"/>
      <c r="DG257" s="1"/>
      <c r="DH257" s="1">
        <v>41499.25</v>
      </c>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row>
    <row r="258" spans="1:216" x14ac:dyDescent="0.3">
      <c r="A258" s="3" t="str">
        <f>HYPERLINK("https://hpr-rps.hres.ca/reg-content/summary-basis-decision-detailTwo.php?lang=en&amp;linkID=SBD00259", "Jublia")</f>
        <v>Jublia</v>
      </c>
      <c r="B258" s="1" t="s">
        <v>712</v>
      </c>
      <c r="C258" s="1" t="s">
        <v>713</v>
      </c>
      <c r="D258" s="1" t="s">
        <v>714</v>
      </c>
      <c r="E258" s="1"/>
      <c r="F258" s="1"/>
      <c r="G258" s="1"/>
      <c r="H258" s="1">
        <v>41201.25</v>
      </c>
      <c r="I258" s="1"/>
      <c r="J258" s="1"/>
      <c r="K258" s="1"/>
      <c r="L258" s="1"/>
      <c r="M258" s="1"/>
      <c r="N258" s="1"/>
      <c r="O258" s="1"/>
      <c r="P258" s="1"/>
      <c r="Q258" s="1"/>
      <c r="R258" s="1"/>
      <c r="S258" s="1"/>
      <c r="T258" s="1"/>
      <c r="U258" s="1"/>
      <c r="V258" s="1"/>
      <c r="W258" s="1"/>
      <c r="X258" s="1"/>
      <c r="Y258" s="1"/>
      <c r="Z258" s="1"/>
      <c r="AA258" s="1"/>
      <c r="AB258" s="1"/>
      <c r="AC258" s="1"/>
      <c r="AD258" s="1"/>
      <c r="AE258" s="1"/>
      <c r="AF258" s="1">
        <v>41249.25</v>
      </c>
      <c r="AG258" s="1"/>
      <c r="AH258" s="1"/>
      <c r="AI258" s="1"/>
      <c r="AJ258" s="1"/>
      <c r="AK258" s="1"/>
      <c r="AL258" s="1"/>
      <c r="AM258" s="1"/>
      <c r="AN258" s="1"/>
      <c r="AO258" s="1"/>
      <c r="AP258" s="1"/>
      <c r="AQ258" s="1"/>
      <c r="AR258" s="1">
        <v>41541.25</v>
      </c>
      <c r="AS258" s="1"/>
      <c r="AT258" s="1"/>
      <c r="AU258" s="1"/>
      <c r="AV258" s="1">
        <v>41540.25</v>
      </c>
      <c r="AW258" s="1"/>
      <c r="AX258" s="1"/>
      <c r="AY258" s="1"/>
      <c r="AZ258" s="1">
        <v>41548.25</v>
      </c>
      <c r="BA258" s="1"/>
      <c r="BB258" s="1"/>
      <c r="BC258" s="1"/>
      <c r="BD258" s="1"/>
      <c r="BE258" s="1"/>
      <c r="BF258" s="1"/>
      <c r="BG258" s="1"/>
      <c r="BH258" s="1"/>
      <c r="BI258" s="1"/>
      <c r="BJ258" s="1"/>
      <c r="BK258" s="1"/>
      <c r="BL258" s="1"/>
      <c r="BM258" s="1">
        <v>41549.25</v>
      </c>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row>
    <row r="259" spans="1:216" x14ac:dyDescent="0.3">
      <c r="A259" s="3" t="str">
        <f>HYPERLINK("https://hpr-rps.hres.ca/reg-content/summary-basis-decision-detailTwo.php?lang=en&amp;linkID=SBD00260", "Perjeta")</f>
        <v>Perjeta</v>
      </c>
      <c r="B259" s="1" t="s">
        <v>715</v>
      </c>
      <c r="C259" s="1" t="s">
        <v>84</v>
      </c>
      <c r="D259" s="1" t="s">
        <v>716</v>
      </c>
      <c r="E259" s="1">
        <v>40888.25</v>
      </c>
      <c r="F259" s="1"/>
      <c r="G259" s="1"/>
      <c r="H259" s="1"/>
      <c r="I259" s="1"/>
      <c r="J259" s="1"/>
      <c r="K259" s="1"/>
      <c r="L259" s="1"/>
      <c r="M259" s="1"/>
      <c r="N259" s="1">
        <v>41113.25</v>
      </c>
      <c r="O259" s="1"/>
      <c r="P259" s="1"/>
      <c r="Q259" s="1"/>
      <c r="R259" s="1"/>
      <c r="S259" s="1">
        <v>41143.25</v>
      </c>
      <c r="T259" s="1"/>
      <c r="U259" s="1"/>
      <c r="V259" s="1">
        <v>41152.25</v>
      </c>
      <c r="W259" s="1"/>
      <c r="X259" s="1"/>
      <c r="Y259" s="1"/>
      <c r="Z259" s="1"/>
      <c r="AA259" s="1"/>
      <c r="AB259" s="1"/>
      <c r="AC259" s="1"/>
      <c r="AD259" s="1"/>
      <c r="AE259" s="1"/>
      <c r="AF259" s="1">
        <v>41197.25</v>
      </c>
      <c r="AG259" s="1"/>
      <c r="AH259" s="1"/>
      <c r="AI259" s="1"/>
      <c r="AJ259" s="1"/>
      <c r="AK259" s="1"/>
      <c r="AL259" s="1"/>
      <c r="AM259" s="1"/>
      <c r="AN259" s="1"/>
      <c r="AO259" s="1">
        <v>41351.208333333343</v>
      </c>
      <c r="AP259" s="1"/>
      <c r="AQ259" s="1"/>
      <c r="AR259" s="1">
        <v>41376.25</v>
      </c>
      <c r="AS259" s="1"/>
      <c r="AT259" s="1"/>
      <c r="AU259" s="1"/>
      <c r="AV259" s="1">
        <v>41376.25</v>
      </c>
      <c r="AW259" s="1"/>
      <c r="AX259" s="1"/>
      <c r="AY259" s="1"/>
      <c r="AZ259" s="1">
        <v>41376.25</v>
      </c>
      <c r="BA259" s="1"/>
      <c r="BB259" s="1"/>
      <c r="BC259" s="1"/>
      <c r="BD259" s="1"/>
      <c r="BE259" s="1"/>
      <c r="BF259" s="1"/>
      <c r="BG259" s="1"/>
      <c r="BH259" s="1"/>
      <c r="BI259" s="1"/>
      <c r="BJ259" s="1"/>
      <c r="BK259" s="1"/>
      <c r="BL259" s="1"/>
      <c r="BM259" s="1">
        <v>41376.25</v>
      </c>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row>
    <row r="260" spans="1:216" x14ac:dyDescent="0.3">
      <c r="A260" s="3" t="str">
        <f>HYPERLINK("https://hpr-rps.hres.ca/reg-content/summary-basis-decision-detailTwo.php?lang=en&amp;linkID=SBD00261", "Pheburane")</f>
        <v>Pheburane</v>
      </c>
      <c r="B260" s="1" t="s">
        <v>717</v>
      </c>
      <c r="C260" s="1" t="s">
        <v>718</v>
      </c>
      <c r="D260" s="1" t="s">
        <v>719</v>
      </c>
      <c r="E260" s="1">
        <v>41618.25</v>
      </c>
      <c r="F260" s="1"/>
      <c r="G260" s="1"/>
      <c r="H260" s="1"/>
      <c r="I260" s="1"/>
      <c r="J260" s="1"/>
      <c r="K260" s="1"/>
      <c r="L260" s="1"/>
      <c r="M260" s="1"/>
      <c r="N260" s="1">
        <v>41760.25</v>
      </c>
      <c r="O260" s="1"/>
      <c r="P260" s="1"/>
      <c r="Q260" s="1"/>
      <c r="R260" s="1"/>
      <c r="S260" s="1">
        <v>41796.25</v>
      </c>
      <c r="T260" s="1"/>
      <c r="U260" s="1"/>
      <c r="V260" s="1">
        <v>41801.25</v>
      </c>
      <c r="W260" s="1"/>
      <c r="X260" s="1"/>
      <c r="Y260" s="1"/>
      <c r="Z260" s="1">
        <v>41835.25</v>
      </c>
      <c r="AA260" s="1"/>
      <c r="AB260" s="1"/>
      <c r="AC260" s="1">
        <v>41844.25</v>
      </c>
      <c r="AD260" s="1"/>
      <c r="AE260" s="1"/>
      <c r="AF260" s="1">
        <v>41850.25</v>
      </c>
      <c r="AG260" s="1"/>
      <c r="AH260" s="1"/>
      <c r="AI260" s="1"/>
      <c r="AJ260" s="1"/>
      <c r="AK260" s="1"/>
      <c r="AL260" s="1"/>
      <c r="AM260" s="1"/>
      <c r="AN260" s="1"/>
      <c r="AO260" s="1"/>
      <c r="AP260" s="1"/>
      <c r="AQ260" s="1"/>
      <c r="AR260" s="1">
        <v>42027.25</v>
      </c>
      <c r="AS260" s="1">
        <v>41942.208333333343</v>
      </c>
      <c r="AT260" s="1"/>
      <c r="AU260" s="1"/>
      <c r="AV260" s="1">
        <v>42025.25</v>
      </c>
      <c r="AW260" s="1"/>
      <c r="AX260" s="1"/>
      <c r="AY260" s="1"/>
      <c r="AZ260" s="1">
        <v>42027.25</v>
      </c>
      <c r="BA260" s="1"/>
      <c r="BB260" s="1"/>
      <c r="BC260" s="1"/>
      <c r="BD260" s="1"/>
      <c r="BE260" s="1"/>
      <c r="BF260" s="1"/>
      <c r="BG260" s="1"/>
      <c r="BH260" s="1"/>
      <c r="BI260" s="1"/>
      <c r="BJ260" s="1"/>
      <c r="BK260" s="1"/>
      <c r="BL260" s="1"/>
      <c r="BM260" s="1">
        <v>42030.25</v>
      </c>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row>
    <row r="261" spans="1:216" x14ac:dyDescent="0.3">
      <c r="A261" s="3" t="str">
        <f>HYPERLINK("https://hpr-rps.hres.ca/reg-content/summary-basis-decision-detailTwo.php?lang=en&amp;linkID=SBD00262", "Picato")</f>
        <v>Picato</v>
      </c>
      <c r="B261" s="1" t="s">
        <v>720</v>
      </c>
      <c r="C261" s="1" t="s">
        <v>721</v>
      </c>
      <c r="D261" s="1" t="s">
        <v>722</v>
      </c>
      <c r="E261" s="1">
        <v>40843.25</v>
      </c>
      <c r="F261" s="1"/>
      <c r="G261" s="1"/>
      <c r="H261" s="1">
        <v>40948.25</v>
      </c>
      <c r="I261" s="1"/>
      <c r="J261" s="1"/>
      <c r="K261" s="1"/>
      <c r="L261" s="1"/>
      <c r="M261" s="1"/>
      <c r="N261" s="1"/>
      <c r="O261" s="1"/>
      <c r="P261" s="1"/>
      <c r="Q261" s="1"/>
      <c r="R261" s="1"/>
      <c r="S261" s="1"/>
      <c r="T261" s="1"/>
      <c r="U261" s="1"/>
      <c r="V261" s="1"/>
      <c r="W261" s="1"/>
      <c r="X261" s="1"/>
      <c r="Y261" s="1"/>
      <c r="Z261" s="1"/>
      <c r="AA261" s="1"/>
      <c r="AB261" s="1"/>
      <c r="AC261" s="1"/>
      <c r="AD261" s="1"/>
      <c r="AE261" s="1"/>
      <c r="AF261" s="1">
        <v>41004.25</v>
      </c>
      <c r="AG261" s="1"/>
      <c r="AH261" s="1"/>
      <c r="AI261" s="1"/>
      <c r="AJ261" s="1"/>
      <c r="AK261" s="1"/>
      <c r="AL261" s="1"/>
      <c r="AM261" s="1"/>
      <c r="AN261" s="1"/>
      <c r="AO261" s="1"/>
      <c r="AP261" s="1"/>
      <c r="AQ261" s="1"/>
      <c r="AR261" s="1">
        <v>41299.25</v>
      </c>
      <c r="AS261" s="1"/>
      <c r="AT261" s="1"/>
      <c r="AU261" s="1"/>
      <c r="AV261" s="1">
        <v>41289.25</v>
      </c>
      <c r="AW261" s="1"/>
      <c r="AX261" s="1"/>
      <c r="AY261" s="1"/>
      <c r="AZ261" s="1">
        <v>41303.25</v>
      </c>
      <c r="BA261" s="1"/>
      <c r="BB261" s="1"/>
      <c r="BC261" s="1"/>
      <c r="BD261" s="1"/>
      <c r="BE261" s="1"/>
      <c r="BF261" s="1"/>
      <c r="BG261" s="1"/>
      <c r="BH261" s="1"/>
      <c r="BI261" s="1"/>
      <c r="BJ261" s="1"/>
      <c r="BK261" s="1"/>
      <c r="BL261" s="1"/>
      <c r="BM261" s="1">
        <v>41304.25</v>
      </c>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row>
    <row r="262" spans="1:216" x14ac:dyDescent="0.3">
      <c r="A262" s="3" t="str">
        <f>HYPERLINK("https://hpr-rps.hres.ca/reg-content/summary-basis-decision-detailTwo.php?lang=en&amp;linkID=SBD00263", "Pomalyst")</f>
        <v>Pomalyst</v>
      </c>
      <c r="B262" s="1" t="s">
        <v>723</v>
      </c>
      <c r="C262" s="1" t="s">
        <v>665</v>
      </c>
      <c r="D262" s="1" t="s">
        <v>724</v>
      </c>
      <c r="E262" s="1">
        <v>41324.25</v>
      </c>
      <c r="F262" s="1"/>
      <c r="G262" s="1"/>
      <c r="H262" s="1"/>
      <c r="I262" s="1"/>
      <c r="J262" s="1"/>
      <c r="K262" s="1"/>
      <c r="L262" s="1"/>
      <c r="M262" s="1"/>
      <c r="N262" s="1">
        <v>41388.25</v>
      </c>
      <c r="O262" s="1"/>
      <c r="P262" s="1"/>
      <c r="Q262" s="1"/>
      <c r="R262" s="1"/>
      <c r="S262" s="1">
        <v>41424.25</v>
      </c>
      <c r="T262" s="1"/>
      <c r="U262" s="1"/>
      <c r="V262" s="1">
        <v>41445.25</v>
      </c>
      <c r="W262" s="1"/>
      <c r="X262" s="1"/>
      <c r="Y262" s="1"/>
      <c r="Z262" s="1"/>
      <c r="AA262" s="1"/>
      <c r="AB262" s="1"/>
      <c r="AC262" s="1"/>
      <c r="AD262" s="1"/>
      <c r="AE262" s="1"/>
      <c r="AF262" s="1">
        <v>41480.25</v>
      </c>
      <c r="AG262" s="1"/>
      <c r="AH262" s="1"/>
      <c r="AI262" s="1"/>
      <c r="AJ262" s="1"/>
      <c r="AK262" s="1"/>
      <c r="AL262" s="1"/>
      <c r="AM262" s="1"/>
      <c r="AN262" s="1"/>
      <c r="AO262" s="1"/>
      <c r="AP262" s="1"/>
      <c r="AQ262" s="1"/>
      <c r="AR262" s="1">
        <v>41656.25</v>
      </c>
      <c r="AS262" s="1"/>
      <c r="AT262" s="1"/>
      <c r="AU262" s="1"/>
      <c r="AV262" s="1">
        <v>41627.25</v>
      </c>
      <c r="AW262" s="1"/>
      <c r="AX262" s="1">
        <v>41565.25</v>
      </c>
      <c r="AY262" s="1"/>
      <c r="AZ262" s="1">
        <v>41656.25</v>
      </c>
      <c r="BA262" s="1"/>
      <c r="BB262" s="1"/>
      <c r="BC262" s="1"/>
      <c r="BD262" s="1"/>
      <c r="BE262" s="1"/>
      <c r="BF262" s="1"/>
      <c r="BG262" s="1"/>
      <c r="BH262" s="1"/>
      <c r="BI262" s="1"/>
      <c r="BJ262" s="1"/>
      <c r="BK262" s="1"/>
      <c r="BL262" s="1"/>
      <c r="BM262" s="1">
        <v>41659.25</v>
      </c>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row>
    <row r="263" spans="1:216" x14ac:dyDescent="0.3">
      <c r="A263" s="3" t="str">
        <f>HYPERLINK("https://hpr-rps.hres.ca/reg-content/summary-basis-decision-detailTwo.php?lang=en&amp;linkID=SBD00264", "Potiga")</f>
        <v>Potiga</v>
      </c>
      <c r="B263" s="1" t="s">
        <v>725</v>
      </c>
      <c r="C263" s="1" t="s">
        <v>96</v>
      </c>
      <c r="D263" s="1" t="s">
        <v>726</v>
      </c>
      <c r="E263" s="1">
        <v>40232.25</v>
      </c>
      <c r="F263" s="1"/>
      <c r="G263" s="1"/>
      <c r="H263" s="1">
        <v>40847.208333333343</v>
      </c>
      <c r="I263" s="1"/>
      <c r="J263" s="1"/>
      <c r="K263" s="1"/>
      <c r="L263" s="1"/>
      <c r="M263" s="1"/>
      <c r="N263" s="1"/>
      <c r="O263" s="1"/>
      <c r="P263" s="1"/>
      <c r="Q263" s="1"/>
      <c r="R263" s="1"/>
      <c r="S263" s="1"/>
      <c r="T263" s="1"/>
      <c r="U263" s="1"/>
      <c r="V263" s="1"/>
      <c r="W263" s="1"/>
      <c r="X263" s="1"/>
      <c r="Y263" s="1"/>
      <c r="Z263" s="1"/>
      <c r="AA263" s="1"/>
      <c r="AB263" s="1"/>
      <c r="AC263" s="1"/>
      <c r="AD263" s="1"/>
      <c r="AE263" s="1"/>
      <c r="AF263" s="1">
        <v>40900.25</v>
      </c>
      <c r="AG263" s="1"/>
      <c r="AH263" s="1"/>
      <c r="AI263" s="1"/>
      <c r="AJ263" s="1"/>
      <c r="AK263" s="1"/>
      <c r="AL263" s="1"/>
      <c r="AM263" s="1"/>
      <c r="AN263" s="1"/>
      <c r="AO263" s="1"/>
      <c r="AP263" s="1"/>
      <c r="AQ263" s="1"/>
      <c r="AR263" s="1">
        <v>41198.25</v>
      </c>
      <c r="AS263" s="1">
        <v>41110.25</v>
      </c>
      <c r="AT263" s="1"/>
      <c r="AU263" s="1"/>
      <c r="AV263" s="1">
        <v>41198.25</v>
      </c>
      <c r="AW263" s="1"/>
      <c r="AX263" s="1"/>
      <c r="AY263" s="1"/>
      <c r="AZ263" s="1">
        <v>41198.25</v>
      </c>
      <c r="BA263" s="1"/>
      <c r="BB263" s="1"/>
      <c r="BC263" s="1"/>
      <c r="BD263" s="1"/>
      <c r="BE263" s="1"/>
      <c r="BF263" s="1"/>
      <c r="BG263" s="1"/>
      <c r="BH263" s="1"/>
      <c r="BI263" s="1"/>
      <c r="BJ263" s="1"/>
      <c r="BK263" s="1"/>
      <c r="BL263" s="1"/>
      <c r="BM263" s="1">
        <v>41200.25</v>
      </c>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row>
    <row r="264" spans="1:216" x14ac:dyDescent="0.3">
      <c r="A264" s="3" t="str">
        <f>HYPERLINK("https://hpr-rps.hres.ca/reg-content/summary-basis-decision-detailTwo.php?lang=en&amp;linkID=SBD00265", "Prolensa")</f>
        <v>Prolensa</v>
      </c>
      <c r="B264" s="1" t="s">
        <v>727</v>
      </c>
      <c r="C264" s="1" t="s">
        <v>129</v>
      </c>
      <c r="D264" s="1" t="s">
        <v>728</v>
      </c>
      <c r="E264" s="1"/>
      <c r="F264" s="1"/>
      <c r="G264" s="1"/>
      <c r="H264" s="1">
        <v>41733.25</v>
      </c>
      <c r="I264" s="1"/>
      <c r="J264" s="1"/>
      <c r="K264" s="1"/>
      <c r="L264" s="1"/>
      <c r="M264" s="1"/>
      <c r="N264" s="1"/>
      <c r="O264" s="1"/>
      <c r="P264" s="1"/>
      <c r="Q264" s="1"/>
      <c r="R264" s="1"/>
      <c r="S264" s="1"/>
      <c r="T264" s="1"/>
      <c r="U264" s="1"/>
      <c r="V264" s="1"/>
      <c r="W264" s="1"/>
      <c r="X264" s="1"/>
      <c r="Y264" s="1"/>
      <c r="Z264" s="1"/>
      <c r="AA264" s="1"/>
      <c r="AB264" s="1"/>
      <c r="AC264" s="1"/>
      <c r="AD264" s="1"/>
      <c r="AE264" s="1"/>
      <c r="AF264" s="1">
        <v>41790.25</v>
      </c>
      <c r="AG264" s="1"/>
      <c r="AH264" s="1"/>
      <c r="AI264" s="1"/>
      <c r="AJ264" s="1"/>
      <c r="AK264" s="1"/>
      <c r="AL264" s="1"/>
      <c r="AM264" s="1"/>
      <c r="AN264" s="1"/>
      <c r="AO264" s="1"/>
      <c r="AP264" s="1"/>
      <c r="AQ264" s="1"/>
      <c r="AR264" s="1">
        <v>42088.208333333343</v>
      </c>
      <c r="AS264" s="1"/>
      <c r="AT264" s="1"/>
      <c r="AU264" s="1"/>
      <c r="AV264" s="1">
        <v>42082.208333333343</v>
      </c>
      <c r="AW264" s="1"/>
      <c r="AX264" s="1"/>
      <c r="AY264" s="1"/>
      <c r="AZ264" s="1">
        <v>42088.208333333343</v>
      </c>
      <c r="BA264" s="1"/>
      <c r="BB264" s="1"/>
      <c r="BC264" s="1"/>
      <c r="BD264" s="1"/>
      <c r="BE264" s="1"/>
      <c r="BF264" s="1"/>
      <c r="BG264" s="1"/>
      <c r="BH264" s="1"/>
      <c r="BI264" s="1"/>
      <c r="BJ264" s="1"/>
      <c r="BK264" s="1"/>
      <c r="BL264" s="1"/>
      <c r="BM264" s="1">
        <v>42089.208333333343</v>
      </c>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row>
    <row r="265" spans="1:216" x14ac:dyDescent="0.3">
      <c r="A265" s="3" t="str">
        <f>HYPERLINK("https://hpr-rps.hres.ca/reg-content/summary-basis-decision-detailTwo.php?lang=en&amp;linkID=SBD00267", "Revestive")</f>
        <v>Revestive</v>
      </c>
      <c r="B265" s="1" t="s">
        <v>729</v>
      </c>
      <c r="C265" s="1" t="s">
        <v>730</v>
      </c>
      <c r="D265" s="1" t="s">
        <v>731</v>
      </c>
      <c r="E265" s="1">
        <v>41772.25</v>
      </c>
      <c r="F265" s="1"/>
      <c r="G265" s="1"/>
      <c r="H265" s="1"/>
      <c r="I265" s="1"/>
      <c r="J265" s="1"/>
      <c r="K265" s="1"/>
      <c r="L265" s="1"/>
      <c r="M265" s="1"/>
      <c r="N265" s="1">
        <v>41906.25</v>
      </c>
      <c r="O265" s="1"/>
      <c r="P265" s="1"/>
      <c r="Q265" s="1"/>
      <c r="R265" s="1"/>
      <c r="S265" s="1">
        <v>41941.208333333343</v>
      </c>
      <c r="T265" s="1"/>
      <c r="U265" s="1"/>
      <c r="V265" s="1">
        <v>41982.25</v>
      </c>
      <c r="W265" s="1"/>
      <c r="X265" s="1"/>
      <c r="Y265" s="1"/>
      <c r="Z265" s="1">
        <v>41995.25</v>
      </c>
      <c r="AA265" s="1"/>
      <c r="AB265" s="1"/>
      <c r="AC265" s="1">
        <v>42040.25</v>
      </c>
      <c r="AD265" s="1"/>
      <c r="AE265" s="1"/>
      <c r="AF265" s="1">
        <v>42073.208333333343</v>
      </c>
      <c r="AG265" s="1"/>
      <c r="AH265" s="1"/>
      <c r="AI265" s="1"/>
      <c r="AJ265" s="1"/>
      <c r="AK265" s="1"/>
      <c r="AL265" s="1"/>
      <c r="AM265" s="1"/>
      <c r="AN265" s="1"/>
      <c r="AO265" s="1"/>
      <c r="AP265" s="1"/>
      <c r="AQ265" s="1"/>
      <c r="AR265" s="1">
        <v>42248.25</v>
      </c>
      <c r="AS265" s="1"/>
      <c r="AT265" s="1"/>
      <c r="AU265" s="1"/>
      <c r="AV265" s="1">
        <v>42250.25</v>
      </c>
      <c r="AW265" s="1"/>
      <c r="AX265" s="1">
        <v>42250.25</v>
      </c>
      <c r="AY265" s="1"/>
      <c r="AZ265" s="1">
        <v>42250.25</v>
      </c>
      <c r="BA265" s="1"/>
      <c r="BB265" s="1"/>
      <c r="BC265" s="1"/>
      <c r="BD265" s="1"/>
      <c r="BE265" s="1"/>
      <c r="BF265" s="1"/>
      <c r="BG265" s="1"/>
      <c r="BH265" s="1"/>
      <c r="BI265" s="1"/>
      <c r="BJ265" s="1"/>
      <c r="BK265" s="1"/>
      <c r="BL265" s="1"/>
      <c r="BM265" s="1">
        <v>42251.25</v>
      </c>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row>
    <row r="266" spans="1:216" x14ac:dyDescent="0.3">
      <c r="A266" s="3" t="str">
        <f>HYPERLINK("https://hpr-rps.hres.ca/reg-content/summary-basis-decision-detailTwo.php?lang=en&amp;linkID=SBD00268", "Rosiver")</f>
        <v>Rosiver</v>
      </c>
      <c r="B266" s="1" t="s">
        <v>732</v>
      </c>
      <c r="C266" s="1" t="s">
        <v>204</v>
      </c>
      <c r="D266" s="1" t="s">
        <v>733</v>
      </c>
      <c r="E266" s="1"/>
      <c r="F266" s="1"/>
      <c r="G266" s="1"/>
      <c r="H266" s="1">
        <v>41765.25</v>
      </c>
      <c r="I266" s="1"/>
      <c r="J266" s="1"/>
      <c r="K266" s="1"/>
      <c r="L266" s="1"/>
      <c r="M266" s="1"/>
      <c r="N266" s="1"/>
      <c r="O266" s="1"/>
      <c r="P266" s="1"/>
      <c r="Q266" s="1"/>
      <c r="R266" s="1"/>
      <c r="S266" s="1"/>
      <c r="T266" s="1"/>
      <c r="U266" s="1"/>
      <c r="V266" s="1"/>
      <c r="W266" s="1"/>
      <c r="X266" s="1"/>
      <c r="Y266" s="1"/>
      <c r="Z266" s="1"/>
      <c r="AA266" s="1"/>
      <c r="AB266" s="1"/>
      <c r="AC266" s="1"/>
      <c r="AD266" s="1"/>
      <c r="AE266" s="1"/>
      <c r="AF266" s="1">
        <v>41771.25</v>
      </c>
      <c r="AG266" s="1"/>
      <c r="AH266" s="1"/>
      <c r="AI266" s="1"/>
      <c r="AJ266" s="1"/>
      <c r="AK266" s="1"/>
      <c r="AL266" s="1"/>
      <c r="AM266" s="1"/>
      <c r="AN266" s="1"/>
      <c r="AO266" s="1"/>
      <c r="AP266" s="1"/>
      <c r="AQ266" s="1"/>
      <c r="AR266" s="1">
        <v>42115.25</v>
      </c>
      <c r="AS266" s="1"/>
      <c r="AT266" s="1"/>
      <c r="AU266" s="1"/>
      <c r="AV266" s="1">
        <v>42115.25</v>
      </c>
      <c r="AW266" s="1"/>
      <c r="AX266" s="1"/>
      <c r="AY266" s="1"/>
      <c r="AZ266" s="1">
        <v>42115.25</v>
      </c>
      <c r="BA266" s="1"/>
      <c r="BB266" s="1"/>
      <c r="BC266" s="1"/>
      <c r="BD266" s="1"/>
      <c r="BE266" s="1"/>
      <c r="BF266" s="1"/>
      <c r="BG266" s="1"/>
      <c r="BH266" s="1"/>
      <c r="BI266" s="1"/>
      <c r="BJ266" s="1"/>
      <c r="BK266" s="1"/>
      <c r="BL266" s="1"/>
      <c r="BM266" s="1">
        <v>42116.25</v>
      </c>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row>
    <row r="267" spans="1:216" x14ac:dyDescent="0.3">
      <c r="A267" s="3" t="str">
        <f>HYPERLINK("https://hpr-rps.hres.ca/reg-content/summary-basis-decision-detailTwo.php?lang=en&amp;linkID=SBD00269", "Signifor")</f>
        <v>Signifor</v>
      </c>
      <c r="B267" s="1" t="s">
        <v>734</v>
      </c>
      <c r="C267" s="1" t="s">
        <v>87</v>
      </c>
      <c r="D267" s="1" t="s">
        <v>735</v>
      </c>
      <c r="E267" s="1"/>
      <c r="F267" s="1"/>
      <c r="G267" s="1"/>
      <c r="H267" s="1">
        <v>40582.25</v>
      </c>
      <c r="I267" s="1"/>
      <c r="J267" s="1"/>
      <c r="K267" s="1"/>
      <c r="L267" s="1"/>
      <c r="M267" s="1"/>
      <c r="N267" s="1"/>
      <c r="O267" s="1"/>
      <c r="P267" s="1"/>
      <c r="Q267" s="1"/>
      <c r="R267" s="1"/>
      <c r="S267" s="1"/>
      <c r="T267" s="1"/>
      <c r="U267" s="1"/>
      <c r="V267" s="1"/>
      <c r="W267" s="1"/>
      <c r="X267" s="1"/>
      <c r="Y267" s="1"/>
      <c r="Z267" s="1"/>
      <c r="AA267" s="1"/>
      <c r="AB267" s="1"/>
      <c r="AC267" s="1"/>
      <c r="AD267" s="1"/>
      <c r="AE267" s="1"/>
      <c r="AF267" s="1">
        <v>40633.25</v>
      </c>
      <c r="AG267" s="1"/>
      <c r="AH267" s="1"/>
      <c r="AI267" s="1"/>
      <c r="AJ267" s="1"/>
      <c r="AK267" s="1"/>
      <c r="AL267" s="1"/>
      <c r="AM267" s="1"/>
      <c r="AN267" s="1"/>
      <c r="AO267" s="1"/>
      <c r="AP267" s="1"/>
      <c r="AQ267" s="1"/>
      <c r="AR267" s="1"/>
      <c r="AS267" s="1"/>
      <c r="AT267" s="1"/>
      <c r="AU267" s="1"/>
      <c r="AV267" s="1">
        <v>40830.25</v>
      </c>
      <c r="AW267" s="1"/>
      <c r="AX267" s="1"/>
      <c r="AY267" s="1"/>
      <c r="AZ267" s="1"/>
      <c r="BA267" s="1"/>
      <c r="BB267" s="1"/>
      <c r="BC267" s="1"/>
      <c r="BD267" s="1"/>
      <c r="BE267" s="1"/>
      <c r="BF267" s="1"/>
      <c r="BG267" s="1"/>
      <c r="BH267" s="1"/>
      <c r="BI267" s="1"/>
      <c r="BJ267" s="1"/>
      <c r="BK267" s="1"/>
      <c r="BL267" s="1"/>
      <c r="BM267" s="1"/>
      <c r="BN267" s="1"/>
      <c r="BO267" s="1"/>
      <c r="BP267" s="1">
        <v>40840.25</v>
      </c>
      <c r="BQ267" s="1"/>
      <c r="BR267" s="1"/>
      <c r="BS267" s="1"/>
      <c r="BT267" s="1"/>
      <c r="BU267" s="1"/>
      <c r="BV267" s="1"/>
      <c r="BW267" s="1"/>
      <c r="BX267" s="1"/>
      <c r="BY267" s="1">
        <v>40925.25</v>
      </c>
      <c r="BZ267" s="1"/>
      <c r="CA267" s="1"/>
      <c r="CB267" s="1"/>
      <c r="CC267" s="1"/>
      <c r="CD267" s="1"/>
      <c r="CE267" s="1"/>
      <c r="CF267" s="1"/>
      <c r="CG267" s="1"/>
      <c r="CH267" s="1"/>
      <c r="CI267" s="1"/>
      <c r="CJ267" s="1"/>
      <c r="CK267" s="1"/>
      <c r="CL267" s="1"/>
      <c r="CM267" s="1"/>
      <c r="CN267" s="1"/>
      <c r="CO267" s="1"/>
      <c r="CP267" s="1"/>
      <c r="CQ267" s="1"/>
      <c r="CR267" s="1">
        <v>40970.25</v>
      </c>
      <c r="CS267" s="1"/>
      <c r="CT267" s="1"/>
      <c r="CU267" s="1"/>
      <c r="CV267" s="1"/>
      <c r="CW267" s="1"/>
      <c r="CX267" s="1"/>
      <c r="CY267" s="1"/>
      <c r="CZ267" s="1"/>
      <c r="DA267" s="1"/>
      <c r="DB267" s="1"/>
      <c r="DC267" s="1"/>
      <c r="DD267" s="1"/>
      <c r="DE267" s="1"/>
      <c r="DF267" s="1"/>
      <c r="DG267" s="1"/>
      <c r="DH267" s="1">
        <v>41255.25</v>
      </c>
      <c r="DI267" s="1"/>
      <c r="DJ267" s="1">
        <v>41218.25</v>
      </c>
      <c r="DK267" s="1"/>
      <c r="DL267" s="1">
        <v>41264.25</v>
      </c>
      <c r="DM267" s="1"/>
      <c r="DN267" s="1"/>
      <c r="DO267" s="1"/>
      <c r="DP267" s="1"/>
      <c r="DQ267" s="1"/>
      <c r="DR267" s="1"/>
      <c r="DS267" s="1"/>
      <c r="DT267" s="1"/>
      <c r="DU267" s="1"/>
      <c r="DV267" s="1"/>
      <c r="DW267" s="1"/>
      <c r="DX267" s="1"/>
      <c r="DY267" s="1"/>
      <c r="DZ267" s="1"/>
      <c r="EA267" s="1"/>
      <c r="EB267" s="1"/>
      <c r="EC267" s="1"/>
      <c r="ED267" s="1"/>
      <c r="EE267" s="1"/>
      <c r="EF267" s="1">
        <v>41267.25</v>
      </c>
      <c r="EG267" s="1"/>
      <c r="EH267" s="1"/>
      <c r="EI267" s="1"/>
      <c r="EJ267" s="1"/>
      <c r="EK267" s="1">
        <v>41346.208333333343</v>
      </c>
      <c r="EL267" s="1"/>
      <c r="EM267" s="1"/>
      <c r="EN267" s="1"/>
      <c r="EO267" s="1"/>
      <c r="EP267" s="1"/>
      <c r="EQ267" s="1"/>
      <c r="ER267" s="1"/>
      <c r="ES267" s="1"/>
      <c r="ET267" s="1"/>
      <c r="EU267" s="1"/>
      <c r="EV267" s="1"/>
      <c r="EW267" s="1"/>
      <c r="EX267" s="1"/>
      <c r="EY267" s="1"/>
      <c r="EZ267" s="1"/>
      <c r="FA267" s="1"/>
      <c r="FB267" s="1"/>
      <c r="FC267" s="1"/>
      <c r="FD267" s="1">
        <v>41390.25</v>
      </c>
      <c r="FE267" s="1"/>
      <c r="FF267" s="1"/>
      <c r="FG267" s="1"/>
      <c r="FH267" s="1"/>
      <c r="FI267" s="1"/>
      <c r="FJ267" s="1"/>
      <c r="FK267" s="1"/>
      <c r="FL267" s="1"/>
      <c r="FM267" s="1"/>
      <c r="FN267" s="1"/>
      <c r="FO267" s="1"/>
      <c r="FP267" s="1"/>
      <c r="FQ267" s="1"/>
      <c r="FR267" s="1"/>
      <c r="FS267" s="1"/>
      <c r="FT267" s="1"/>
      <c r="FU267" s="1"/>
      <c r="FV267" s="1"/>
      <c r="FW267" s="1"/>
      <c r="FX267" s="1">
        <v>41537.25</v>
      </c>
      <c r="FY267" s="1"/>
      <c r="FZ267" s="1"/>
      <c r="GA267" s="1"/>
      <c r="GB267" s="1"/>
      <c r="GC267" s="1">
        <v>41540.25</v>
      </c>
      <c r="GD267" s="1"/>
      <c r="GE267" s="1"/>
      <c r="GF267" s="1"/>
      <c r="GG267" s="1"/>
      <c r="GH267" s="1"/>
      <c r="GI267" s="1"/>
      <c r="GJ267" s="1"/>
      <c r="GK267" s="1">
        <v>41540.25</v>
      </c>
      <c r="GL267" s="1"/>
      <c r="GM267" s="1"/>
      <c r="GN267" s="1"/>
      <c r="GO267" s="1"/>
      <c r="GP267" s="1"/>
      <c r="GQ267" s="1"/>
      <c r="GR267" s="1"/>
      <c r="GS267" s="1"/>
      <c r="GT267" s="1"/>
      <c r="GU267" s="1"/>
      <c r="GV267" s="1"/>
      <c r="GW267" s="1"/>
      <c r="GX267" s="1"/>
      <c r="GY267" s="1"/>
      <c r="GZ267" s="1"/>
      <c r="HA267" s="1"/>
      <c r="HB267" s="1"/>
      <c r="HC267" s="1"/>
      <c r="HD267" s="1"/>
      <c r="HE267" s="1"/>
      <c r="HF267" s="1"/>
      <c r="HG267" s="1"/>
      <c r="HH267" s="1"/>
    </row>
    <row r="268" spans="1:216" x14ac:dyDescent="0.3">
      <c r="A268" s="3" t="str">
        <f>HYPERLINK("https://hpr-rps.hres.ca/reg-content/summary-basis-decision-detailTwo.php?lang=en&amp;linkID=SBD00270", "Anoro Ellipta")</f>
        <v>Anoro Ellipta</v>
      </c>
      <c r="B268" s="1" t="s">
        <v>736</v>
      </c>
      <c r="C268" s="1" t="s">
        <v>96</v>
      </c>
      <c r="D268" s="1" t="s">
        <v>737</v>
      </c>
      <c r="E268" s="1"/>
      <c r="F268" s="1"/>
      <c r="G268" s="1"/>
      <c r="H268" s="1">
        <v>41284.25</v>
      </c>
      <c r="I268" s="1"/>
      <c r="J268" s="1"/>
      <c r="K268" s="1"/>
      <c r="L268" s="1"/>
      <c r="M268" s="1"/>
      <c r="N268" s="1"/>
      <c r="O268" s="1"/>
      <c r="P268" s="1"/>
      <c r="Q268" s="1"/>
      <c r="R268" s="1"/>
      <c r="S268" s="1"/>
      <c r="T268" s="1"/>
      <c r="U268" s="1"/>
      <c r="V268" s="1"/>
      <c r="W268" s="1"/>
      <c r="X268" s="1"/>
      <c r="Y268" s="1"/>
      <c r="Z268" s="1"/>
      <c r="AA268" s="1"/>
      <c r="AB268" s="1"/>
      <c r="AC268" s="1"/>
      <c r="AD268" s="1"/>
      <c r="AE268" s="1"/>
      <c r="AF268" s="1">
        <v>41334.25</v>
      </c>
      <c r="AG268" s="1"/>
      <c r="AH268" s="1"/>
      <c r="AI268" s="1"/>
      <c r="AJ268" s="1"/>
      <c r="AK268" s="1"/>
      <c r="AL268" s="1"/>
      <c r="AM268" s="1"/>
      <c r="AN268" s="1"/>
      <c r="AO268" s="1"/>
      <c r="AP268" s="1"/>
      <c r="AQ268" s="1"/>
      <c r="AR268" s="1">
        <v>41620.25</v>
      </c>
      <c r="AS268" s="1"/>
      <c r="AT268" s="1"/>
      <c r="AU268" s="1"/>
      <c r="AV268" s="1">
        <v>41620.25</v>
      </c>
      <c r="AW268" s="1"/>
      <c r="AX268" s="1"/>
      <c r="AY268" s="1"/>
      <c r="AZ268" s="1">
        <v>41627.25</v>
      </c>
      <c r="BA268" s="1"/>
      <c r="BB268" s="1"/>
      <c r="BC268" s="1"/>
      <c r="BD268" s="1"/>
      <c r="BE268" s="1"/>
      <c r="BF268" s="1"/>
      <c r="BG268" s="1"/>
      <c r="BH268" s="1"/>
      <c r="BI268" s="1"/>
      <c r="BJ268" s="1"/>
      <c r="BK268" s="1"/>
      <c r="BL268" s="1"/>
      <c r="BM268" s="1">
        <v>41631.25</v>
      </c>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row>
    <row r="269" spans="1:216" x14ac:dyDescent="0.3">
      <c r="A269" s="3" t="str">
        <f>HYPERLINK("https://hpr-rps.hres.ca/reg-content/summary-basis-decision-detailTwo.php?lang=en&amp;linkID=SBD00271", "Aptiom")</f>
        <v>Aptiom</v>
      </c>
      <c r="B269" s="1" t="s">
        <v>738</v>
      </c>
      <c r="C269" s="1" t="s">
        <v>292</v>
      </c>
      <c r="D269" s="1" t="s">
        <v>739</v>
      </c>
      <c r="E269" s="1">
        <v>41157.25</v>
      </c>
      <c r="F269" s="1"/>
      <c r="G269" s="1"/>
      <c r="H269" s="1">
        <v>41437.25</v>
      </c>
      <c r="I269" s="1"/>
      <c r="J269" s="1"/>
      <c r="K269" s="1"/>
      <c r="L269" s="1"/>
      <c r="M269" s="1"/>
      <c r="N269" s="1"/>
      <c r="O269" s="1"/>
      <c r="P269" s="1"/>
      <c r="Q269" s="1"/>
      <c r="R269" s="1"/>
      <c r="S269" s="1"/>
      <c r="T269" s="1"/>
      <c r="U269" s="1"/>
      <c r="V269" s="1"/>
      <c r="W269" s="1"/>
      <c r="X269" s="1"/>
      <c r="Y269" s="1"/>
      <c r="Z269" s="1">
        <v>41478.25</v>
      </c>
      <c r="AA269" s="1"/>
      <c r="AB269" s="1"/>
      <c r="AC269" s="1">
        <v>41486.25</v>
      </c>
      <c r="AD269" s="1"/>
      <c r="AE269" s="1"/>
      <c r="AF269" s="1">
        <v>41528.25</v>
      </c>
      <c r="AG269" s="1"/>
      <c r="AH269" s="1"/>
      <c r="AI269" s="1"/>
      <c r="AJ269" s="1"/>
      <c r="AK269" s="1"/>
      <c r="AL269" s="1"/>
      <c r="AM269" s="1"/>
      <c r="AN269" s="1"/>
      <c r="AO269" s="1"/>
      <c r="AP269" s="1"/>
      <c r="AQ269" s="1"/>
      <c r="AR269" s="1">
        <v>41803.25</v>
      </c>
      <c r="AS269" s="1">
        <v>41814.25</v>
      </c>
      <c r="AT269" s="1"/>
      <c r="AU269" s="1"/>
      <c r="AV269" s="1">
        <v>41815.25</v>
      </c>
      <c r="AW269" s="1"/>
      <c r="AX269" s="1"/>
      <c r="AY269" s="1"/>
      <c r="AZ269" s="1">
        <v>41824.25</v>
      </c>
      <c r="BA269" s="1"/>
      <c r="BB269" s="1"/>
      <c r="BC269" s="1"/>
      <c r="BD269" s="1"/>
      <c r="BE269" s="1"/>
      <c r="BF269" s="1"/>
      <c r="BG269" s="1"/>
      <c r="BH269" s="1"/>
      <c r="BI269" s="1"/>
      <c r="BJ269" s="1"/>
      <c r="BK269" s="1"/>
      <c r="BL269" s="1"/>
      <c r="BM269" s="1">
        <v>41828.25</v>
      </c>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row>
    <row r="270" spans="1:216" x14ac:dyDescent="0.3">
      <c r="A270" s="3" t="str">
        <f>HYPERLINK("https://hpr-rps.hres.ca/reg-content/summary-basis-decision-detailOne.php?lang=en&amp;linkID=SBD00273", "Arzerra TM")</f>
        <v>Arzerra TM</v>
      </c>
      <c r="B270" s="1" t="s">
        <v>740</v>
      </c>
      <c r="C270" s="1" t="s">
        <v>96</v>
      </c>
      <c r="D270" s="1" t="s">
        <v>741</v>
      </c>
      <c r="E270" s="1">
        <v>40416.25</v>
      </c>
      <c r="F270" s="1"/>
      <c r="G270" s="1"/>
      <c r="H270" s="1">
        <v>40564.25</v>
      </c>
      <c r="I270" s="1"/>
      <c r="J270" s="1"/>
      <c r="K270" s="1"/>
      <c r="L270" s="1"/>
      <c r="M270" s="1"/>
      <c r="N270" s="1"/>
      <c r="O270" s="1"/>
      <c r="P270" s="1"/>
      <c r="Q270" s="1"/>
      <c r="R270" s="1"/>
      <c r="S270" s="1"/>
      <c r="T270" s="1"/>
      <c r="U270" s="1"/>
      <c r="V270" s="1"/>
      <c r="W270" s="1"/>
      <c r="X270" s="1"/>
      <c r="Y270" s="1"/>
      <c r="Z270" s="1"/>
      <c r="AA270" s="1"/>
      <c r="AB270" s="1"/>
      <c r="AC270" s="1"/>
      <c r="AD270" s="1"/>
      <c r="AE270" s="1"/>
      <c r="AF270" s="1">
        <v>40616.208333333343</v>
      </c>
      <c r="AG270" s="1"/>
      <c r="AH270" s="1"/>
      <c r="AI270" s="1"/>
      <c r="AJ270" s="1"/>
      <c r="AK270" s="1"/>
      <c r="AL270" s="1"/>
      <c r="AM270" s="1"/>
      <c r="AN270" s="1"/>
      <c r="AO270" s="1"/>
      <c r="AP270" s="1"/>
      <c r="AQ270" s="1"/>
      <c r="AR270" s="1">
        <v>40975.25</v>
      </c>
      <c r="AS270" s="1"/>
      <c r="AT270" s="1"/>
      <c r="AU270" s="1"/>
      <c r="AV270" s="1">
        <v>40976.25</v>
      </c>
      <c r="AW270" s="1"/>
      <c r="AX270" s="1"/>
      <c r="AY270" s="1"/>
      <c r="AZ270" s="1">
        <v>40975.25</v>
      </c>
      <c r="BA270" s="1"/>
      <c r="BB270" s="1"/>
      <c r="BC270" s="1"/>
      <c r="BD270" s="1"/>
      <c r="BE270" s="1"/>
      <c r="BF270" s="1"/>
      <c r="BG270" s="1"/>
      <c r="BH270" s="1"/>
      <c r="BI270" s="1"/>
      <c r="BJ270" s="1"/>
      <c r="BK270" s="1">
        <v>40914.25</v>
      </c>
      <c r="BL270" s="1">
        <v>40977.25</v>
      </c>
      <c r="BM270" s="1"/>
      <c r="BN270" s="1"/>
      <c r="BO270" s="1"/>
      <c r="BP270" s="1"/>
      <c r="BQ270" s="1"/>
      <c r="BR270" s="1"/>
      <c r="BS270" s="1"/>
      <c r="BT270" s="1"/>
      <c r="BU270" s="1"/>
      <c r="BV270" s="1"/>
      <c r="BW270" s="1"/>
      <c r="BX270" s="1"/>
      <c r="BY270" s="1">
        <v>40945.25</v>
      </c>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row>
    <row r="271" spans="1:216" x14ac:dyDescent="0.3">
      <c r="A271" s="3" t="str">
        <f>HYPERLINK("https://hpr-rps.hres.ca/reg-content/summary-basis-decision-detailOne.php?lang=en&amp;linkID=SBD00300", "Vesicare")</f>
        <v>Vesicare</v>
      </c>
      <c r="B271" s="1" t="s">
        <v>742</v>
      </c>
      <c r="C271" s="1" t="s">
        <v>328</v>
      </c>
      <c r="D271" s="1" t="s">
        <v>743</v>
      </c>
      <c r="E271" s="1">
        <v>38327.25</v>
      </c>
      <c r="F271" s="1"/>
      <c r="G271" s="1"/>
      <c r="H271" s="1">
        <v>38408.25</v>
      </c>
      <c r="I271" s="1"/>
      <c r="J271" s="1"/>
      <c r="K271" s="1"/>
      <c r="L271" s="1"/>
      <c r="M271" s="1"/>
      <c r="N271" s="1"/>
      <c r="O271" s="1"/>
      <c r="P271" s="1"/>
      <c r="Q271" s="1"/>
      <c r="R271" s="1"/>
      <c r="S271" s="1"/>
      <c r="T271" s="1"/>
      <c r="U271" s="1"/>
      <c r="V271" s="1"/>
      <c r="W271" s="1"/>
      <c r="X271" s="1"/>
      <c r="Y271" s="1"/>
      <c r="Z271" s="1"/>
      <c r="AA271" s="1"/>
      <c r="AB271" s="1"/>
      <c r="AC271" s="1"/>
      <c r="AD271" s="1"/>
      <c r="AE271" s="1"/>
      <c r="AF271" s="1">
        <v>38469.25</v>
      </c>
      <c r="AG271" s="1"/>
      <c r="AH271" s="1"/>
      <c r="AI271" s="1"/>
      <c r="AJ271" s="1"/>
      <c r="AK271" s="1"/>
      <c r="AL271" s="1"/>
      <c r="AM271" s="1"/>
      <c r="AN271" s="1"/>
      <c r="AO271" s="1"/>
      <c r="AP271" s="1"/>
      <c r="AQ271" s="1"/>
      <c r="AR271" s="1">
        <v>38764.25</v>
      </c>
      <c r="AS271" s="1"/>
      <c r="AT271" s="1"/>
      <c r="AU271" s="1"/>
      <c r="AV271" s="1">
        <v>38749.25</v>
      </c>
      <c r="AW271" s="1"/>
      <c r="AX271" s="1"/>
      <c r="AY271" s="1"/>
      <c r="AZ271" s="1">
        <v>38765.25</v>
      </c>
      <c r="BA271" s="1"/>
      <c r="BB271" s="1"/>
      <c r="BC271" s="1"/>
      <c r="BD271" s="1"/>
      <c r="BE271" s="1"/>
      <c r="BF271" s="1"/>
      <c r="BG271" s="1"/>
      <c r="BH271" s="1"/>
      <c r="BI271" s="1"/>
      <c r="BJ271" s="1"/>
      <c r="BK271" s="1"/>
      <c r="BL271" s="1"/>
      <c r="BM271" s="1">
        <v>38768.25</v>
      </c>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row>
    <row r="272" spans="1:216" x14ac:dyDescent="0.3">
      <c r="A272" s="3" t="str">
        <f>HYPERLINK("https://hpr-rps.hres.ca/reg-content/summary-basis-decision-detailTwo.php?lang=en&amp;linkID=SBD00274", "Aubagio")</f>
        <v>Aubagio</v>
      </c>
      <c r="B272" s="1" t="s">
        <v>744</v>
      </c>
      <c r="C272" s="1" t="s">
        <v>745</v>
      </c>
      <c r="D272" s="1" t="s">
        <v>746</v>
      </c>
      <c r="E272" s="1">
        <v>40806.25</v>
      </c>
      <c r="F272" s="1"/>
      <c r="G272" s="1"/>
      <c r="H272" s="1">
        <v>41242.25</v>
      </c>
      <c r="I272" s="1"/>
      <c r="J272" s="1"/>
      <c r="K272" s="1"/>
      <c r="L272" s="1"/>
      <c r="M272" s="1"/>
      <c r="N272" s="1"/>
      <c r="O272" s="1"/>
      <c r="P272" s="1"/>
      <c r="Q272" s="1"/>
      <c r="R272" s="1"/>
      <c r="S272" s="1"/>
      <c r="T272" s="1"/>
      <c r="U272" s="1"/>
      <c r="V272" s="1"/>
      <c r="W272" s="1"/>
      <c r="X272" s="1"/>
      <c r="Y272" s="1"/>
      <c r="Z272" s="1"/>
      <c r="AA272" s="1"/>
      <c r="AB272" s="1"/>
      <c r="AC272" s="1"/>
      <c r="AD272" s="1"/>
      <c r="AE272" s="1"/>
      <c r="AF272" s="1">
        <v>41295.25</v>
      </c>
      <c r="AG272" s="1"/>
      <c r="AH272" s="1"/>
      <c r="AI272" s="1"/>
      <c r="AJ272" s="1"/>
      <c r="AK272" s="1"/>
      <c r="AL272" s="1"/>
      <c r="AM272" s="1"/>
      <c r="AN272" s="1"/>
      <c r="AO272" s="1"/>
      <c r="AP272" s="1"/>
      <c r="AQ272" s="1"/>
      <c r="AR272" s="1">
        <v>41590.25</v>
      </c>
      <c r="AS272" s="1">
        <v>41530.25</v>
      </c>
      <c r="AT272" s="1"/>
      <c r="AU272" s="1"/>
      <c r="AV272" s="1">
        <v>41586.25</v>
      </c>
      <c r="AW272" s="1"/>
      <c r="AX272" s="1"/>
      <c r="AY272" s="1"/>
      <c r="AZ272" s="1">
        <v>41590.25</v>
      </c>
      <c r="BA272" s="1"/>
      <c r="BB272" s="1"/>
      <c r="BC272" s="1"/>
      <c r="BD272" s="1"/>
      <c r="BE272" s="1"/>
      <c r="BF272" s="1"/>
      <c r="BG272" s="1"/>
      <c r="BH272" s="1"/>
      <c r="BI272" s="1"/>
      <c r="BJ272" s="1"/>
      <c r="BK272" s="1"/>
      <c r="BL272" s="1"/>
      <c r="BM272" s="1">
        <v>41592.25</v>
      </c>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row>
    <row r="273" spans="1:216" x14ac:dyDescent="0.3">
      <c r="A273" s="3" t="str">
        <f>HYPERLINK("https://hpr-rps.hres.ca/reg-content/summary-basis-decision-detailTwo.php?lang=en&amp;linkID=SBD00275", "Bexsero")</f>
        <v>Bexsero</v>
      </c>
      <c r="B273" s="1" t="s">
        <v>747</v>
      </c>
      <c r="C273" s="1" t="s">
        <v>748</v>
      </c>
      <c r="D273" s="1" t="s">
        <v>749</v>
      </c>
      <c r="E273" s="1">
        <v>40394.25</v>
      </c>
      <c r="F273" s="1"/>
      <c r="G273" s="1"/>
      <c r="H273" s="1"/>
      <c r="I273" s="1"/>
      <c r="J273" s="1"/>
      <c r="K273" s="1"/>
      <c r="L273" s="1"/>
      <c r="M273" s="1"/>
      <c r="N273" s="1">
        <v>40637.25</v>
      </c>
      <c r="O273" s="1"/>
      <c r="P273" s="1"/>
      <c r="Q273" s="1"/>
      <c r="R273" s="1"/>
      <c r="S273" s="1">
        <v>40662.25</v>
      </c>
      <c r="T273" s="1"/>
      <c r="U273" s="1"/>
      <c r="V273" s="1">
        <v>40689.25</v>
      </c>
      <c r="W273" s="1"/>
      <c r="X273" s="1"/>
      <c r="Y273" s="1"/>
      <c r="Z273" s="1">
        <v>40718.25</v>
      </c>
      <c r="AA273" s="1"/>
      <c r="AB273" s="1"/>
      <c r="AC273" s="1">
        <v>40774.25</v>
      </c>
      <c r="AD273" s="1"/>
      <c r="AE273" s="1"/>
      <c r="AF273" s="1">
        <v>40799.25</v>
      </c>
      <c r="AG273" s="1"/>
      <c r="AH273" s="1"/>
      <c r="AI273" s="1"/>
      <c r="AJ273" s="1"/>
      <c r="AK273" s="1"/>
      <c r="AL273" s="1"/>
      <c r="AM273" s="1"/>
      <c r="AN273" s="1"/>
      <c r="AO273" s="1">
        <v>40854.25</v>
      </c>
      <c r="AP273" s="1"/>
      <c r="AQ273" s="1"/>
      <c r="AR273" s="1"/>
      <c r="AS273" s="1"/>
      <c r="AT273" s="1"/>
      <c r="AU273" s="1"/>
      <c r="AV273" s="1">
        <v>40974.25</v>
      </c>
      <c r="AW273" s="1"/>
      <c r="AX273" s="1"/>
      <c r="AY273" s="1"/>
      <c r="AZ273" s="1">
        <v>40974.25</v>
      </c>
      <c r="BA273" s="1"/>
      <c r="BB273" s="1"/>
      <c r="BC273" s="1"/>
      <c r="BD273" s="1"/>
      <c r="BE273" s="1"/>
      <c r="BF273" s="1"/>
      <c r="BG273" s="1"/>
      <c r="BH273" s="1"/>
      <c r="BI273" s="1"/>
      <c r="BJ273" s="1"/>
      <c r="BK273" s="1"/>
      <c r="BL273" s="1"/>
      <c r="BM273" s="1"/>
      <c r="BN273" s="1"/>
      <c r="BO273" s="1"/>
      <c r="BP273" s="1">
        <v>40974.25</v>
      </c>
      <c r="BQ273" s="1"/>
      <c r="BR273" s="1"/>
      <c r="BS273" s="1"/>
      <c r="BT273" s="1"/>
      <c r="BU273" s="1"/>
      <c r="BV273" s="1"/>
      <c r="BW273" s="1"/>
      <c r="BX273" s="1"/>
      <c r="BY273" s="1">
        <v>41263.25</v>
      </c>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row>
    <row r="274" spans="1:216" x14ac:dyDescent="0.3">
      <c r="A274" s="3" t="str">
        <f>HYPERLINK("https://hpr-rps.hres.ca/reg-content/summary-basis-decision-detailTwo.php?lang=en&amp;linkID=SBD00276", "Grastofil")</f>
        <v>Grastofil</v>
      </c>
      <c r="B274" s="1" t="s">
        <v>750</v>
      </c>
      <c r="C274" s="1" t="s">
        <v>751</v>
      </c>
      <c r="D274" s="1" t="s">
        <v>752</v>
      </c>
      <c r="E274" s="1"/>
      <c r="F274" s="1"/>
      <c r="G274" s="1"/>
      <c r="H274" s="1">
        <v>41106.25</v>
      </c>
      <c r="I274" s="1"/>
      <c r="J274" s="1"/>
      <c r="K274" s="1"/>
      <c r="L274" s="1"/>
      <c r="M274" s="1"/>
      <c r="N274" s="1"/>
      <c r="O274" s="1"/>
      <c r="P274" s="1"/>
      <c r="Q274" s="1"/>
      <c r="R274" s="1"/>
      <c r="S274" s="1"/>
      <c r="T274" s="1"/>
      <c r="U274" s="1"/>
      <c r="V274" s="1"/>
      <c r="W274" s="1"/>
      <c r="X274" s="1"/>
      <c r="Y274" s="1"/>
      <c r="Z274" s="1">
        <v>41159.25</v>
      </c>
      <c r="AA274" s="1"/>
      <c r="AB274" s="1"/>
      <c r="AC274" s="1">
        <v>41184.25</v>
      </c>
      <c r="AD274" s="1"/>
      <c r="AE274" s="1"/>
      <c r="AF274" s="1">
        <v>41213.208333333343</v>
      </c>
      <c r="AG274" s="1"/>
      <c r="AH274" s="1"/>
      <c r="AI274" s="1"/>
      <c r="AJ274" s="1"/>
      <c r="AK274" s="1"/>
      <c r="AL274" s="1"/>
      <c r="AM274" s="1"/>
      <c r="AN274" s="1"/>
      <c r="AO274" s="1"/>
      <c r="AP274" s="1"/>
      <c r="AQ274" s="1"/>
      <c r="AR274" s="1"/>
      <c r="AS274" s="1"/>
      <c r="AT274" s="1"/>
      <c r="AU274" s="1"/>
      <c r="AV274" s="1">
        <v>41439.25</v>
      </c>
      <c r="AW274" s="1"/>
      <c r="AX274" s="1"/>
      <c r="AY274" s="1"/>
      <c r="AZ274" s="1">
        <v>41439.25</v>
      </c>
      <c r="BA274" s="1"/>
      <c r="BB274" s="1"/>
      <c r="BC274" s="1"/>
      <c r="BD274" s="1"/>
      <c r="BE274" s="1"/>
      <c r="BF274" s="1"/>
      <c r="BG274" s="1"/>
      <c r="BH274" s="1"/>
      <c r="BI274" s="1"/>
      <c r="BJ274" s="1"/>
      <c r="BK274" s="1"/>
      <c r="BL274" s="1"/>
      <c r="BM274" s="1"/>
      <c r="BN274" s="1"/>
      <c r="BO274" s="1"/>
      <c r="BP274" s="1">
        <v>41442.25</v>
      </c>
      <c r="BQ274" s="1"/>
      <c r="BR274" s="1"/>
      <c r="BS274" s="1"/>
      <c r="BT274" s="1"/>
      <c r="BU274" s="1"/>
      <c r="BV274" s="1"/>
      <c r="BW274" s="1"/>
      <c r="BX274" s="1"/>
      <c r="BY274" s="1">
        <v>41792.25</v>
      </c>
      <c r="BZ274" s="1"/>
      <c r="CA274" s="1"/>
      <c r="CB274" s="1"/>
      <c r="CC274" s="1"/>
      <c r="CD274" s="1"/>
      <c r="CE274" s="1"/>
      <c r="CF274" s="1"/>
      <c r="CG274" s="1"/>
      <c r="CH274" s="1"/>
      <c r="CI274" s="1"/>
      <c r="CJ274" s="1"/>
      <c r="CK274" s="1"/>
      <c r="CL274" s="1"/>
      <c r="CM274" s="1"/>
      <c r="CN274" s="1"/>
      <c r="CO274" s="1"/>
      <c r="CP274" s="1"/>
      <c r="CQ274" s="1"/>
      <c r="CR274" s="1">
        <v>41845.25</v>
      </c>
      <c r="CS274" s="1"/>
      <c r="CT274" s="1"/>
      <c r="CU274" s="1"/>
      <c r="CV274" s="1"/>
      <c r="CW274" s="1"/>
      <c r="CX274" s="1"/>
      <c r="CY274" s="1"/>
      <c r="CZ274" s="1"/>
      <c r="DA274" s="1">
        <v>42031.25</v>
      </c>
      <c r="DB274" s="1"/>
      <c r="DC274" s="1"/>
      <c r="DD274" s="1">
        <v>42144.25</v>
      </c>
      <c r="DE274" s="1"/>
      <c r="DF274" s="1"/>
      <c r="DG274" s="1"/>
      <c r="DH274" s="1">
        <v>42104.25</v>
      </c>
      <c r="DI274" s="1"/>
      <c r="DJ274" s="1">
        <v>42134.25</v>
      </c>
      <c r="DK274" s="1"/>
      <c r="DL274" s="1">
        <v>42144.25</v>
      </c>
      <c r="DM274" s="1"/>
      <c r="DN274" s="1"/>
      <c r="DO274" s="1"/>
      <c r="DP274" s="1"/>
      <c r="DQ274" s="1"/>
      <c r="DR274" s="1"/>
      <c r="DS274" s="1"/>
      <c r="DT274" s="1"/>
      <c r="DU274" s="1"/>
      <c r="DV274" s="1"/>
      <c r="DW274" s="1"/>
      <c r="DX274" s="1"/>
      <c r="DY274" s="1">
        <v>42345.25</v>
      </c>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row>
    <row r="275" spans="1:216" x14ac:dyDescent="0.3">
      <c r="A275" s="3" t="str">
        <f>HYPERLINK("https://hpr-rps.hres.ca/reg-content/summary-basis-decision-detailTwo.php?lang=en&amp;linkID=SBD00277", "Praluent")</f>
        <v>Praluent</v>
      </c>
      <c r="B275" s="1" t="s">
        <v>753</v>
      </c>
      <c r="C275" s="1" t="s">
        <v>754</v>
      </c>
      <c r="D275" s="1" t="s">
        <v>755</v>
      </c>
      <c r="E275" s="1">
        <v>42060.25</v>
      </c>
      <c r="F275" s="1"/>
      <c r="G275" s="1"/>
      <c r="H275" s="1">
        <v>42083.208333333343</v>
      </c>
      <c r="I275" s="1"/>
      <c r="J275" s="1"/>
      <c r="K275" s="1"/>
      <c r="L275" s="1"/>
      <c r="M275" s="1"/>
      <c r="N275" s="1"/>
      <c r="O275" s="1"/>
      <c r="P275" s="1"/>
      <c r="Q275" s="1"/>
      <c r="R275" s="1"/>
      <c r="S275" s="1"/>
      <c r="T275" s="1"/>
      <c r="U275" s="1"/>
      <c r="V275" s="1"/>
      <c r="W275" s="1"/>
      <c r="X275" s="1"/>
      <c r="Y275" s="1"/>
      <c r="Z275" s="1">
        <v>42139.25</v>
      </c>
      <c r="AA275" s="1"/>
      <c r="AB275" s="1"/>
      <c r="AC275" s="1">
        <v>42159.25</v>
      </c>
      <c r="AD275" s="1"/>
      <c r="AE275" s="1"/>
      <c r="AF275" s="1"/>
      <c r="AG275" s="1"/>
      <c r="AH275" s="1"/>
      <c r="AI275" s="1"/>
      <c r="AJ275" s="1"/>
      <c r="AK275" s="1"/>
      <c r="AL275" s="1"/>
      <c r="AM275" s="1"/>
      <c r="AN275" s="1"/>
      <c r="AO275" s="1"/>
      <c r="AP275" s="1"/>
      <c r="AQ275" s="1"/>
      <c r="AR275" s="1"/>
      <c r="AS275" s="1"/>
      <c r="AT275" s="1"/>
      <c r="AU275" s="1"/>
      <c r="AV275" s="1"/>
      <c r="AW275" s="1">
        <v>42171.25</v>
      </c>
      <c r="AX275" s="1"/>
      <c r="AY275" s="1"/>
      <c r="AZ275" s="1"/>
      <c r="BA275" s="1"/>
      <c r="BB275" s="1"/>
      <c r="BC275" s="1"/>
      <c r="BD275" s="1"/>
      <c r="BE275" s="1"/>
      <c r="BF275" s="1">
        <v>42401.25</v>
      </c>
      <c r="BG275" s="1"/>
      <c r="BH275" s="1"/>
      <c r="BI275" s="1">
        <v>42467.25</v>
      </c>
      <c r="BJ275" s="1"/>
      <c r="BK275" s="1"/>
      <c r="BL275" s="1"/>
      <c r="BM275" s="1">
        <v>42467.25</v>
      </c>
      <c r="BN275" s="1"/>
      <c r="BO275" s="1"/>
      <c r="BP275" s="1"/>
      <c r="BQ275" s="1">
        <v>42465.25</v>
      </c>
      <c r="BR275" s="1"/>
      <c r="BS275" s="1"/>
      <c r="BT275" s="1"/>
      <c r="BU275" s="1"/>
      <c r="BV275" s="1"/>
      <c r="BW275" s="1"/>
      <c r="BX275" s="1"/>
      <c r="BY275" s="1"/>
      <c r="BZ275" s="1"/>
      <c r="CA275" s="1"/>
      <c r="CB275" s="1"/>
      <c r="CC275" s="1"/>
      <c r="CD275" s="1">
        <v>42471.25</v>
      </c>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row>
    <row r="276" spans="1:216" x14ac:dyDescent="0.3">
      <c r="A276" s="3" t="str">
        <f>HYPERLINK("https://hpr-rps.hres.ca/reg-content/summary-basis-decision-detailTwo.php?lang=en&amp;linkID=SBD00278", "Cotellic")</f>
        <v>Cotellic</v>
      </c>
      <c r="B276" s="1" t="s">
        <v>756</v>
      </c>
      <c r="C276" s="1" t="s">
        <v>84</v>
      </c>
      <c r="D276" s="1" t="s">
        <v>757</v>
      </c>
      <c r="E276" s="1"/>
      <c r="F276" s="1"/>
      <c r="G276" s="1"/>
      <c r="H276" s="1"/>
      <c r="I276" s="1"/>
      <c r="J276" s="1"/>
      <c r="K276" s="1"/>
      <c r="L276" s="1"/>
      <c r="M276" s="1"/>
      <c r="N276" s="1">
        <v>42020.25</v>
      </c>
      <c r="O276" s="1"/>
      <c r="P276" s="1"/>
      <c r="Q276" s="1"/>
      <c r="R276" s="1"/>
      <c r="S276" s="1"/>
      <c r="T276" s="1">
        <v>42055.25</v>
      </c>
      <c r="U276" s="1"/>
      <c r="V276" s="1">
        <v>42075.208333333343</v>
      </c>
      <c r="W276" s="1"/>
      <c r="X276" s="1"/>
      <c r="Y276" s="1"/>
      <c r="Z276" s="1"/>
      <c r="AA276" s="1"/>
      <c r="AB276" s="1"/>
      <c r="AC276" s="1"/>
      <c r="AD276" s="1"/>
      <c r="AE276" s="1"/>
      <c r="AF276" s="1">
        <v>42123.25</v>
      </c>
      <c r="AG276" s="1"/>
      <c r="AH276" s="1"/>
      <c r="AI276" s="1"/>
      <c r="AJ276" s="1"/>
      <c r="AK276" s="1"/>
      <c r="AL276" s="1"/>
      <c r="AM276" s="1"/>
      <c r="AN276" s="1"/>
      <c r="AO276" s="1"/>
      <c r="AP276" s="1"/>
      <c r="AQ276" s="1"/>
      <c r="AR276" s="1">
        <v>42419.25</v>
      </c>
      <c r="AS276" s="1">
        <v>42375.25</v>
      </c>
      <c r="AT276" s="1"/>
      <c r="AU276" s="1"/>
      <c r="AV276" s="1">
        <v>42419.25</v>
      </c>
      <c r="AW276" s="1"/>
      <c r="AX276" s="1"/>
      <c r="AY276" s="1"/>
      <c r="AZ276" s="1">
        <v>42420.25</v>
      </c>
      <c r="BA276" s="1"/>
      <c r="BB276" s="1"/>
      <c r="BC276" s="1"/>
      <c r="BD276" s="1"/>
      <c r="BE276" s="1"/>
      <c r="BF276" s="1"/>
      <c r="BG276" s="1"/>
      <c r="BH276" s="1"/>
      <c r="BI276" s="1"/>
      <c r="BJ276" s="1"/>
      <c r="BK276" s="1"/>
      <c r="BL276" s="1"/>
      <c r="BM276" s="1">
        <v>42422.25</v>
      </c>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row>
    <row r="277" spans="1:216" x14ac:dyDescent="0.3">
      <c r="A277" s="3" t="str">
        <f>HYPERLINK("https://hpr-rps.hres.ca/reg-content/summary-basis-decision-detailTwo.php?lang=en&amp;linkID=SBD00279", "Nucala")</f>
        <v>Nucala</v>
      </c>
      <c r="B277" s="1" t="s">
        <v>758</v>
      </c>
      <c r="C277" s="1" t="s">
        <v>96</v>
      </c>
      <c r="D277" s="1" t="s">
        <v>759</v>
      </c>
      <c r="E277" s="1">
        <v>41592.25</v>
      </c>
      <c r="F277" s="1">
        <v>41907.25</v>
      </c>
      <c r="G277" s="1"/>
      <c r="H277" s="1">
        <v>41962.25</v>
      </c>
      <c r="I277" s="1"/>
      <c r="J277" s="1"/>
      <c r="K277" s="1"/>
      <c r="L277" s="1"/>
      <c r="M277" s="1"/>
      <c r="N277" s="1"/>
      <c r="O277" s="1"/>
      <c r="P277" s="1"/>
      <c r="Q277" s="1"/>
      <c r="R277" s="1"/>
      <c r="S277" s="1"/>
      <c r="T277" s="1"/>
      <c r="U277" s="1"/>
      <c r="V277" s="1"/>
      <c r="W277" s="1"/>
      <c r="X277" s="1"/>
      <c r="Y277" s="1"/>
      <c r="Z277" s="1">
        <v>42013.25</v>
      </c>
      <c r="AA277" s="1"/>
      <c r="AB277" s="1"/>
      <c r="AC277" s="1">
        <v>42026.25</v>
      </c>
      <c r="AD277" s="1"/>
      <c r="AE277" s="1"/>
      <c r="AF277" s="1">
        <v>42041.25</v>
      </c>
      <c r="AG277" s="1"/>
      <c r="AH277" s="1"/>
      <c r="AI277" s="1"/>
      <c r="AJ277" s="1"/>
      <c r="AK277" s="1"/>
      <c r="AL277" s="1"/>
      <c r="AM277" s="1"/>
      <c r="AN277" s="1"/>
      <c r="AO277" s="1"/>
      <c r="AP277" s="1"/>
      <c r="AQ277" s="1"/>
      <c r="AR277" s="1">
        <v>42341.25</v>
      </c>
      <c r="AS277" s="1"/>
      <c r="AT277" s="1"/>
      <c r="AU277" s="1"/>
      <c r="AV277" s="1">
        <v>42341.25</v>
      </c>
      <c r="AW277" s="1"/>
      <c r="AX277" s="1"/>
      <c r="AY277" s="1"/>
      <c r="AZ277" s="1">
        <v>42339.25</v>
      </c>
      <c r="BA277" s="1"/>
      <c r="BB277" s="1"/>
      <c r="BC277" s="1"/>
      <c r="BD277" s="1"/>
      <c r="BE277" s="1"/>
      <c r="BF277" s="1"/>
      <c r="BG277" s="1"/>
      <c r="BH277" s="1"/>
      <c r="BI277" s="1"/>
      <c r="BJ277" s="1"/>
      <c r="BK277" s="1"/>
      <c r="BL277" s="1"/>
      <c r="BM277" s="1">
        <v>42341.25</v>
      </c>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row>
    <row r="278" spans="1:216" x14ac:dyDescent="0.3">
      <c r="A278" s="3" t="str">
        <f>HYPERLINK("https://hpr-rps.hres.ca/reg-content/summary-basis-decision-detailOne.php?lang=en&amp;linkID=SBD00301", "Vibativ")</f>
        <v>Vibativ</v>
      </c>
      <c r="B278" s="1" t="s">
        <v>760</v>
      </c>
      <c r="C278" s="1" t="s">
        <v>761</v>
      </c>
      <c r="D278" s="1" t="s">
        <v>762</v>
      </c>
      <c r="E278" s="1">
        <v>39253.25</v>
      </c>
      <c r="F278" s="1"/>
      <c r="G278" s="1"/>
      <c r="H278" s="1">
        <v>39358.25</v>
      </c>
      <c r="I278" s="1"/>
      <c r="J278" s="1"/>
      <c r="K278" s="1"/>
      <c r="L278" s="1"/>
      <c r="M278" s="1"/>
      <c r="N278" s="1"/>
      <c r="O278" s="1"/>
      <c r="P278" s="1"/>
      <c r="Q278" s="1"/>
      <c r="R278" s="1"/>
      <c r="S278" s="1"/>
      <c r="T278" s="1"/>
      <c r="U278" s="1"/>
      <c r="V278" s="1"/>
      <c r="W278" s="1"/>
      <c r="X278" s="1"/>
      <c r="Y278" s="1"/>
      <c r="Z278" s="1">
        <v>39401.25</v>
      </c>
      <c r="AA278" s="1"/>
      <c r="AB278" s="1"/>
      <c r="AC278" s="1">
        <v>39437.25</v>
      </c>
      <c r="AD278" s="1"/>
      <c r="AE278" s="1"/>
      <c r="AF278" s="1">
        <v>39478.25</v>
      </c>
      <c r="AG278" s="1"/>
      <c r="AH278" s="1"/>
      <c r="AI278" s="1"/>
      <c r="AJ278" s="1"/>
      <c r="AK278" s="1"/>
      <c r="AL278" s="1"/>
      <c r="AM278" s="1"/>
      <c r="AN278" s="1"/>
      <c r="AO278" s="1"/>
      <c r="AP278" s="1"/>
      <c r="AQ278" s="1"/>
      <c r="AR278" s="1">
        <v>40058.25</v>
      </c>
      <c r="AS278" s="1"/>
      <c r="AT278" s="1"/>
      <c r="AU278" s="1"/>
      <c r="AV278" s="1">
        <v>39764.25</v>
      </c>
      <c r="AW278" s="1"/>
      <c r="AX278" s="1"/>
      <c r="AY278" s="1"/>
      <c r="AZ278" s="1">
        <v>40059.25</v>
      </c>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row>
    <row r="279" spans="1:216" x14ac:dyDescent="0.3">
      <c r="A279" s="3" t="str">
        <f>HYPERLINK("https://hpr-rps.hres.ca/reg-content/summary-basis-decision-detailTwo.php?lang=en&amp;linkID=SBD00280", "Arepanrix H5N1")</f>
        <v>Arepanrix H5N1</v>
      </c>
      <c r="B279" s="1" t="s">
        <v>763</v>
      </c>
      <c r="C279" s="1" t="s">
        <v>764</v>
      </c>
      <c r="D279" s="1" t="s">
        <v>765</v>
      </c>
      <c r="E279" s="1">
        <v>40716.25</v>
      </c>
      <c r="F279" s="1"/>
      <c r="G279" s="1"/>
      <c r="H279" s="1">
        <v>40962.25</v>
      </c>
      <c r="I279" s="1"/>
      <c r="J279" s="1"/>
      <c r="K279" s="1"/>
      <c r="L279" s="1"/>
      <c r="M279" s="1"/>
      <c r="N279" s="1"/>
      <c r="O279" s="1"/>
      <c r="P279" s="1"/>
      <c r="Q279" s="1"/>
      <c r="R279" s="1"/>
      <c r="S279" s="1"/>
      <c r="T279" s="1"/>
      <c r="U279" s="1"/>
      <c r="V279" s="1"/>
      <c r="W279" s="1"/>
      <c r="X279" s="1"/>
      <c r="Y279" s="1"/>
      <c r="Z279" s="1"/>
      <c r="AA279" s="1"/>
      <c r="AB279" s="1"/>
      <c r="AC279" s="1"/>
      <c r="AD279" s="1"/>
      <c r="AE279" s="1"/>
      <c r="AF279" s="1">
        <v>41018.25</v>
      </c>
      <c r="AG279" s="1"/>
      <c r="AH279" s="1"/>
      <c r="AI279" s="1"/>
      <c r="AJ279" s="1"/>
      <c r="AK279" s="1"/>
      <c r="AL279" s="1"/>
      <c r="AM279" s="1"/>
      <c r="AN279" s="1"/>
      <c r="AO279" s="1"/>
      <c r="AP279" s="1"/>
      <c r="AQ279" s="1"/>
      <c r="AR279" s="1">
        <v>41318.25</v>
      </c>
      <c r="AS279" s="1"/>
      <c r="AT279" s="1"/>
      <c r="AU279" s="1"/>
      <c r="AV279" s="1">
        <v>41318.25</v>
      </c>
      <c r="AW279" s="1"/>
      <c r="AX279" s="1"/>
      <c r="AY279" s="1"/>
      <c r="AZ279" s="1">
        <v>41318.25</v>
      </c>
      <c r="BA279" s="1"/>
      <c r="BB279" s="1"/>
      <c r="BC279" s="1"/>
      <c r="BD279" s="1"/>
      <c r="BE279" s="1"/>
      <c r="BF279" s="1"/>
      <c r="BG279" s="1"/>
      <c r="BH279" s="1"/>
      <c r="BI279" s="1"/>
      <c r="BJ279" s="1"/>
      <c r="BK279" s="1"/>
      <c r="BL279" s="1"/>
      <c r="BM279" s="1">
        <v>41318.25</v>
      </c>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row>
    <row r="280" spans="1:216" x14ac:dyDescent="0.3">
      <c r="A280" s="3" t="str">
        <f>HYPERLINK("https://hpr-rps.hres.ca/reg-content/summary-basis-decision-detailTwo.php?lang=en&amp;linkID=SBD00281", "Basaglar")</f>
        <v>Basaglar</v>
      </c>
      <c r="B280" s="1" t="s">
        <v>766</v>
      </c>
      <c r="C280" s="1" t="s">
        <v>140</v>
      </c>
      <c r="D280" s="1" t="s">
        <v>767</v>
      </c>
      <c r="E280" s="1">
        <v>41523.25</v>
      </c>
      <c r="F280" s="1"/>
      <c r="G280" s="1"/>
      <c r="H280" s="1">
        <v>41880.25</v>
      </c>
      <c r="I280" s="1"/>
      <c r="J280" s="1"/>
      <c r="K280" s="1"/>
      <c r="L280" s="1"/>
      <c r="M280" s="1"/>
      <c r="N280" s="1"/>
      <c r="O280" s="1"/>
      <c r="P280" s="1"/>
      <c r="Q280" s="1"/>
      <c r="R280" s="1"/>
      <c r="S280" s="1"/>
      <c r="T280" s="1"/>
      <c r="U280" s="1"/>
      <c r="V280" s="1"/>
      <c r="W280" s="1"/>
      <c r="X280" s="1"/>
      <c r="Y280" s="1"/>
      <c r="Z280" s="1"/>
      <c r="AA280" s="1"/>
      <c r="AB280" s="1"/>
      <c r="AC280" s="1"/>
      <c r="AD280" s="1"/>
      <c r="AE280" s="1"/>
      <c r="AF280" s="1">
        <v>41936.25</v>
      </c>
      <c r="AG280" s="1"/>
      <c r="AH280" s="1"/>
      <c r="AI280" s="1"/>
      <c r="AJ280" s="1"/>
      <c r="AK280" s="1"/>
      <c r="AL280" s="1"/>
      <c r="AM280" s="1"/>
      <c r="AN280" s="1"/>
      <c r="AO280" s="1"/>
      <c r="AP280" s="1"/>
      <c r="AQ280" s="1"/>
      <c r="AR280" s="1">
        <v>42235.25</v>
      </c>
      <c r="AS280" s="1"/>
      <c r="AT280" s="1"/>
      <c r="AU280" s="1"/>
      <c r="AV280" s="1">
        <v>42227.25</v>
      </c>
      <c r="AW280" s="1"/>
      <c r="AX280" s="1"/>
      <c r="AY280" s="1"/>
      <c r="AZ280" s="1">
        <v>42235.25</v>
      </c>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row>
    <row r="281" spans="1:216" x14ac:dyDescent="0.3">
      <c r="A281" s="3" t="str">
        <f>HYPERLINK("https://hpr-rps.hres.ca/reg-content/summary-basis-decision-detailOne.php?lang=en&amp;linkID=SBD00302", "Victoza ®")</f>
        <v>Victoza ®</v>
      </c>
      <c r="B281" s="1" t="s">
        <v>768</v>
      </c>
      <c r="C281" s="1" t="s">
        <v>298</v>
      </c>
      <c r="D281" s="1" t="s">
        <v>769</v>
      </c>
      <c r="E281" s="1">
        <v>39583.25</v>
      </c>
      <c r="F281" s="1"/>
      <c r="G281" s="1"/>
      <c r="H281" s="1">
        <v>39631.25</v>
      </c>
      <c r="I281" s="1"/>
      <c r="J281" s="1"/>
      <c r="K281" s="1"/>
      <c r="L281" s="1"/>
      <c r="M281" s="1"/>
      <c r="N281" s="1"/>
      <c r="O281" s="1"/>
      <c r="P281" s="1"/>
      <c r="Q281" s="1"/>
      <c r="R281" s="1"/>
      <c r="S281" s="1"/>
      <c r="T281" s="1"/>
      <c r="U281" s="1"/>
      <c r="V281" s="1"/>
      <c r="W281" s="1"/>
      <c r="X281" s="1"/>
      <c r="Y281" s="1"/>
      <c r="Z281" s="1"/>
      <c r="AA281" s="1"/>
      <c r="AB281" s="1"/>
      <c r="AC281" s="1"/>
      <c r="AD281" s="1"/>
      <c r="AE281" s="1"/>
      <c r="AF281" s="1">
        <v>39675.25</v>
      </c>
      <c r="AG281" s="1"/>
      <c r="AH281" s="1"/>
      <c r="AI281" s="1"/>
      <c r="AJ281" s="1"/>
      <c r="AK281" s="1"/>
      <c r="AL281" s="1"/>
      <c r="AM281" s="1"/>
      <c r="AN281" s="1"/>
      <c r="AO281" s="1"/>
      <c r="AP281" s="1"/>
      <c r="AQ281" s="1"/>
      <c r="AR281" s="1"/>
      <c r="AS281" s="1">
        <v>39969.25</v>
      </c>
      <c r="AT281" s="1"/>
      <c r="AU281" s="1"/>
      <c r="AV281" s="1">
        <v>39969.25</v>
      </c>
      <c r="AW281" s="1"/>
      <c r="AX281" s="1">
        <v>39969.25</v>
      </c>
      <c r="AY281" s="1"/>
      <c r="AZ281" s="1">
        <v>39969.25</v>
      </c>
      <c r="BA281" s="1"/>
      <c r="BB281" s="1"/>
      <c r="BC281" s="1"/>
      <c r="BD281" s="1"/>
      <c r="BE281" s="1"/>
      <c r="BF281" s="1"/>
      <c r="BG281" s="1"/>
      <c r="BH281" s="1"/>
      <c r="BI281" s="1"/>
      <c r="BJ281" s="1"/>
      <c r="BK281" s="1"/>
      <c r="BL281" s="1"/>
      <c r="BM281" s="1"/>
      <c r="BN281" s="1"/>
      <c r="BO281" s="1"/>
      <c r="BP281" s="1">
        <v>39969.25</v>
      </c>
      <c r="BQ281" s="1"/>
      <c r="BR281" s="1"/>
      <c r="BS281" s="1"/>
      <c r="BT281" s="1"/>
      <c r="BU281" s="1"/>
      <c r="BV281" s="1"/>
      <c r="BW281" s="1"/>
      <c r="BX281" s="1"/>
      <c r="BY281" s="1">
        <v>39986.25</v>
      </c>
      <c r="BZ281" s="1"/>
      <c r="CA281" s="1"/>
      <c r="CB281" s="1"/>
      <c r="CC281" s="1"/>
      <c r="CD281" s="1"/>
      <c r="CE281" s="1"/>
      <c r="CF281" s="1"/>
      <c r="CG281" s="1"/>
      <c r="CH281" s="1"/>
      <c r="CI281" s="1"/>
      <c r="CJ281" s="1"/>
      <c r="CK281" s="1"/>
      <c r="CL281" s="1"/>
      <c r="CM281" s="1"/>
      <c r="CN281" s="1"/>
      <c r="CO281" s="1"/>
      <c r="CP281" s="1"/>
      <c r="CQ281" s="1"/>
      <c r="CR281" s="1">
        <v>40008.25</v>
      </c>
      <c r="CS281" s="1"/>
      <c r="CT281" s="1"/>
      <c r="CU281" s="1"/>
      <c r="CV281" s="1"/>
      <c r="CW281" s="1"/>
      <c r="CX281" s="1"/>
      <c r="CY281" s="1"/>
      <c r="CZ281" s="1"/>
      <c r="DA281" s="1"/>
      <c r="DB281" s="1"/>
      <c r="DC281" s="1"/>
      <c r="DD281" s="1">
        <v>40268.25</v>
      </c>
      <c r="DE281" s="1">
        <v>40319.25</v>
      </c>
      <c r="DF281" s="1"/>
      <c r="DG281" s="1"/>
      <c r="DH281" s="1">
        <v>40319.25</v>
      </c>
      <c r="DI281" s="1"/>
      <c r="DJ281" s="1">
        <v>40319.25</v>
      </c>
      <c r="DK281" s="1"/>
      <c r="DL281" s="1">
        <v>40319.25</v>
      </c>
      <c r="DM281" s="1"/>
      <c r="DN281" s="1"/>
      <c r="DO281" s="1"/>
      <c r="DP281" s="1"/>
      <c r="DQ281" s="1"/>
      <c r="DR281" s="1"/>
      <c r="DS281" s="1"/>
      <c r="DT281" s="1"/>
      <c r="DU281" s="1"/>
      <c r="DV281" s="1"/>
      <c r="DW281" s="1"/>
      <c r="DX281" s="1"/>
      <c r="DY281" s="1">
        <v>40319.25</v>
      </c>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row>
    <row r="282" spans="1:216" x14ac:dyDescent="0.3">
      <c r="A282" s="3" t="str">
        <f>HYPERLINK("https://hpr-rps.hres.ca/reg-content/summary-basis-decision-detailTwo.php?lang=en&amp;linkID=SBD00282", "Blexten")</f>
        <v>Blexten</v>
      </c>
      <c r="B282" s="1" t="s">
        <v>770</v>
      </c>
      <c r="C282" s="1" t="s">
        <v>771</v>
      </c>
      <c r="D282" s="1" t="s">
        <v>772</v>
      </c>
      <c r="E282" s="1">
        <v>41675.25</v>
      </c>
      <c r="F282" s="1"/>
      <c r="G282" s="1"/>
      <c r="H282" s="1">
        <v>42135.25</v>
      </c>
      <c r="I282" s="1"/>
      <c r="J282" s="1"/>
      <c r="K282" s="1"/>
      <c r="L282" s="1"/>
      <c r="M282" s="1"/>
      <c r="N282" s="1"/>
      <c r="O282" s="1"/>
      <c r="P282" s="1"/>
      <c r="Q282" s="1"/>
      <c r="R282" s="1"/>
      <c r="S282" s="1"/>
      <c r="T282" s="1"/>
      <c r="U282" s="1"/>
      <c r="V282" s="1"/>
      <c r="W282" s="1"/>
      <c r="X282" s="1"/>
      <c r="Y282" s="1"/>
      <c r="Z282" s="1"/>
      <c r="AA282" s="1"/>
      <c r="AB282" s="1"/>
      <c r="AC282" s="1"/>
      <c r="AD282" s="1"/>
      <c r="AE282" s="1"/>
      <c r="AF282" s="1">
        <v>42181.25</v>
      </c>
      <c r="AG282" s="1"/>
      <c r="AH282" s="1"/>
      <c r="AI282" s="1"/>
      <c r="AJ282" s="1"/>
      <c r="AK282" s="1"/>
      <c r="AL282" s="1"/>
      <c r="AM282" s="1"/>
      <c r="AN282" s="1"/>
      <c r="AO282" s="1"/>
      <c r="AP282" s="1"/>
      <c r="AQ282" s="1"/>
      <c r="AR282" s="1">
        <v>42481.25</v>
      </c>
      <c r="AS282" s="1">
        <v>42458.25</v>
      </c>
      <c r="AT282" s="1"/>
      <c r="AU282" s="1"/>
      <c r="AV282" s="1">
        <v>42464.25</v>
      </c>
      <c r="AW282" s="1"/>
      <c r="AX282" s="1"/>
      <c r="AY282" s="1"/>
      <c r="AZ282" s="1">
        <v>42481.25</v>
      </c>
      <c r="BA282" s="1"/>
      <c r="BB282" s="1"/>
      <c r="BC282" s="1"/>
      <c r="BD282" s="1"/>
      <c r="BE282" s="1"/>
      <c r="BF282" s="1"/>
      <c r="BG282" s="1"/>
      <c r="BH282" s="1"/>
      <c r="BI282" s="1"/>
      <c r="BJ282" s="1"/>
      <c r="BK282" s="1"/>
      <c r="BL282" s="1"/>
      <c r="BM282" s="1">
        <v>42481.25</v>
      </c>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row>
    <row r="283" spans="1:216" x14ac:dyDescent="0.3">
      <c r="A283" s="3" t="str">
        <f>HYPERLINK("https://hpr-rps.hres.ca/reg-content/summary-basis-decision-detailTwo.php?lang=en&amp;linkID=SBD00283", "Bridion")</f>
        <v>Bridion</v>
      </c>
      <c r="B283" s="1" t="s">
        <v>773</v>
      </c>
      <c r="C283" s="1" t="s">
        <v>415</v>
      </c>
      <c r="D283" s="1" t="s">
        <v>774</v>
      </c>
      <c r="E283" s="1"/>
      <c r="F283" s="1"/>
      <c r="G283" s="1"/>
      <c r="H283" s="1">
        <v>39659.25</v>
      </c>
      <c r="I283" s="1"/>
      <c r="J283" s="1"/>
      <c r="K283" s="1"/>
      <c r="L283" s="1"/>
      <c r="M283" s="1"/>
      <c r="N283" s="1"/>
      <c r="O283" s="1"/>
      <c r="P283" s="1"/>
      <c r="Q283" s="1"/>
      <c r="R283" s="1"/>
      <c r="S283" s="1"/>
      <c r="T283" s="1"/>
      <c r="U283" s="1"/>
      <c r="V283" s="1"/>
      <c r="W283" s="1"/>
      <c r="X283" s="1"/>
      <c r="Y283" s="1"/>
      <c r="Z283" s="1">
        <v>39710.25</v>
      </c>
      <c r="AA283" s="1"/>
      <c r="AB283" s="1"/>
      <c r="AC283" s="1">
        <v>39752.208333333343</v>
      </c>
      <c r="AD283" s="1"/>
      <c r="AE283" s="1"/>
      <c r="AF283" s="1">
        <v>39794.25</v>
      </c>
      <c r="AG283" s="1"/>
      <c r="AH283" s="1"/>
      <c r="AI283" s="1"/>
      <c r="AJ283" s="1"/>
      <c r="AK283" s="1"/>
      <c r="AL283" s="1"/>
      <c r="AM283" s="1"/>
      <c r="AN283" s="1">
        <v>40569.25</v>
      </c>
      <c r="AO283" s="1"/>
      <c r="AP283" s="1"/>
      <c r="AQ283" s="1"/>
      <c r="AR283" s="1"/>
      <c r="AS283" s="1"/>
      <c r="AT283" s="1"/>
      <c r="AU283" s="1"/>
      <c r="AV283" s="1">
        <v>40095.25</v>
      </c>
      <c r="AW283" s="1"/>
      <c r="AX283" s="1"/>
      <c r="AY283" s="1"/>
      <c r="AZ283" s="1">
        <v>40095.25</v>
      </c>
      <c r="BA283" s="1"/>
      <c r="BB283" s="1"/>
      <c r="BC283" s="1"/>
      <c r="BD283" s="1"/>
      <c r="BE283" s="1"/>
      <c r="BF283" s="1"/>
      <c r="BG283" s="1"/>
      <c r="BH283" s="1"/>
      <c r="BI283" s="1"/>
      <c r="BJ283" s="1"/>
      <c r="BK283" s="1"/>
      <c r="BL283" s="1"/>
      <c r="BM283" s="1"/>
      <c r="BN283" s="1"/>
      <c r="BO283" s="1"/>
      <c r="BP283" s="1">
        <v>40095.25</v>
      </c>
      <c r="BQ283" s="1"/>
      <c r="BR283" s="1"/>
      <c r="BS283" s="1"/>
      <c r="BT283" s="1"/>
      <c r="BU283" s="1"/>
      <c r="BV283" s="1"/>
      <c r="BW283" s="1"/>
      <c r="BX283" s="1"/>
      <c r="BY283" s="1"/>
      <c r="BZ283" s="1"/>
      <c r="CA283" s="1"/>
      <c r="CB283" s="1"/>
      <c r="CC283" s="1">
        <v>41306.25</v>
      </c>
      <c r="CD283" s="1"/>
      <c r="CE283" s="1"/>
      <c r="CF283" s="1"/>
      <c r="CG283" s="1"/>
      <c r="CH283" s="1">
        <v>40269.25</v>
      </c>
      <c r="CI283" s="1"/>
      <c r="CJ283" s="1"/>
      <c r="CK283" s="1"/>
      <c r="CL283" s="1"/>
      <c r="CM283" s="1"/>
      <c r="CN283" s="1"/>
      <c r="CO283" s="1"/>
      <c r="CP283" s="1"/>
      <c r="CQ283" s="1"/>
      <c r="CR283" s="1">
        <v>41360.208333333343</v>
      </c>
      <c r="CS283" s="1"/>
      <c r="CT283" s="1"/>
      <c r="CU283" s="1"/>
      <c r="CV283" s="1"/>
      <c r="CW283" s="1"/>
      <c r="CX283" s="1"/>
      <c r="CY283" s="1"/>
      <c r="CZ283" s="1"/>
      <c r="DA283" s="1"/>
      <c r="DB283" s="1"/>
      <c r="DC283" s="1"/>
      <c r="DD283" s="1"/>
      <c r="DE283" s="1"/>
      <c r="DF283" s="1"/>
      <c r="DG283" s="1"/>
      <c r="DH283" s="1">
        <v>41655.25</v>
      </c>
      <c r="DI283" s="1"/>
      <c r="DJ283" s="1"/>
      <c r="DK283" s="1"/>
      <c r="DL283" s="1">
        <v>41655.25</v>
      </c>
      <c r="DM283" s="1"/>
      <c r="DN283" s="1"/>
      <c r="DO283" s="1"/>
      <c r="DP283" s="1"/>
      <c r="DQ283" s="1"/>
      <c r="DR283" s="1"/>
      <c r="DS283" s="1"/>
      <c r="DT283" s="1"/>
      <c r="DU283" s="1"/>
      <c r="DV283" s="1"/>
      <c r="DW283" s="1"/>
      <c r="DX283" s="1"/>
      <c r="DY283" s="1"/>
      <c r="DZ283" s="1"/>
      <c r="EA283" s="1"/>
      <c r="EB283" s="1"/>
      <c r="EC283" s="1"/>
      <c r="ED283" s="1"/>
      <c r="EE283" s="1"/>
      <c r="EF283" s="1">
        <v>41655.25</v>
      </c>
      <c r="EG283" s="1"/>
      <c r="EH283" s="1"/>
      <c r="EI283" s="1"/>
      <c r="EJ283" s="1"/>
      <c r="EK283" s="1"/>
      <c r="EL283" s="1"/>
      <c r="EM283" s="1"/>
      <c r="EN283" s="1"/>
      <c r="EO283" s="1">
        <v>41996.25</v>
      </c>
      <c r="EP283" s="1"/>
      <c r="EQ283" s="1"/>
      <c r="ER283" s="1"/>
      <c r="ES283" s="1"/>
      <c r="ET283" s="1">
        <v>41705.25</v>
      </c>
      <c r="EU283" s="1"/>
      <c r="EV283" s="1"/>
      <c r="EW283" s="1"/>
      <c r="EX283" s="1"/>
      <c r="EY283" s="1"/>
      <c r="EZ283" s="1"/>
      <c r="FA283" s="1"/>
      <c r="FB283" s="1"/>
      <c r="FC283" s="1"/>
      <c r="FD283" s="1">
        <v>42107.25</v>
      </c>
      <c r="FE283" s="1"/>
      <c r="FF283" s="1"/>
      <c r="FG283" s="1"/>
      <c r="FH283" s="1"/>
      <c r="FI283" s="1"/>
      <c r="FJ283" s="1"/>
      <c r="FK283" s="1"/>
      <c r="FL283" s="1"/>
      <c r="FM283" s="1"/>
      <c r="FN283" s="1"/>
      <c r="FO283" s="1"/>
      <c r="FP283" s="1">
        <v>42403.25</v>
      </c>
      <c r="FQ283" s="1"/>
      <c r="FR283" s="1"/>
      <c r="FS283" s="1"/>
      <c r="FT283" s="1">
        <v>42404.25</v>
      </c>
      <c r="FU283" s="1"/>
      <c r="FV283" s="1"/>
      <c r="FW283" s="1"/>
      <c r="FX283" s="1">
        <v>42404.25</v>
      </c>
      <c r="FY283" s="1"/>
      <c r="FZ283" s="1"/>
      <c r="GA283" s="1"/>
      <c r="GB283" s="1"/>
      <c r="GC283" s="1"/>
      <c r="GD283" s="1"/>
      <c r="GE283" s="1"/>
      <c r="GF283" s="1"/>
      <c r="GG283" s="1"/>
      <c r="GH283" s="1"/>
      <c r="GI283" s="1"/>
      <c r="GJ283" s="1"/>
      <c r="GK283" s="1">
        <v>42405.25</v>
      </c>
      <c r="GL283" s="1"/>
      <c r="GM283" s="1"/>
      <c r="GN283" s="1"/>
      <c r="GO283" s="1"/>
      <c r="GP283" s="1"/>
      <c r="GQ283" s="1"/>
      <c r="GR283" s="1"/>
      <c r="GS283" s="1"/>
      <c r="GT283" s="1"/>
      <c r="GU283" s="1"/>
      <c r="GV283" s="1"/>
      <c r="GW283" s="1"/>
      <c r="GX283" s="1"/>
      <c r="GY283" s="1"/>
      <c r="GZ283" s="1"/>
      <c r="HA283" s="1"/>
      <c r="HB283" s="1"/>
      <c r="HC283" s="1"/>
      <c r="HD283" s="1"/>
      <c r="HE283" s="1"/>
      <c r="HF283" s="1"/>
      <c r="HG283" s="1"/>
      <c r="HH283" s="1"/>
    </row>
    <row r="284" spans="1:216" x14ac:dyDescent="0.3">
      <c r="A284" s="3" t="str">
        <f>HYPERLINK("https://hpr-rps.hres.ca/reg-content/summary-basis-decision-detailTwo.php?lang=en&amp;linkID=SBD00284", "Brivlera")</f>
        <v>Brivlera</v>
      </c>
      <c r="B284" s="1" t="s">
        <v>775</v>
      </c>
      <c r="C284" s="1" t="s">
        <v>164</v>
      </c>
      <c r="D284" s="1" t="s">
        <v>776</v>
      </c>
      <c r="E284" s="1">
        <v>42025.25</v>
      </c>
      <c r="F284" s="1"/>
      <c r="G284" s="1"/>
      <c r="H284" s="1">
        <v>42093.25</v>
      </c>
      <c r="I284" s="1"/>
      <c r="J284" s="1"/>
      <c r="K284" s="1"/>
      <c r="L284" s="1"/>
      <c r="M284" s="1"/>
      <c r="N284" s="1"/>
      <c r="O284" s="1"/>
      <c r="P284" s="1"/>
      <c r="Q284" s="1"/>
      <c r="R284" s="1"/>
      <c r="S284" s="1"/>
      <c r="T284" s="1"/>
      <c r="U284" s="1"/>
      <c r="V284" s="1"/>
      <c r="W284" s="1"/>
      <c r="X284" s="1"/>
      <c r="Y284" s="1"/>
      <c r="Z284" s="1"/>
      <c r="AA284" s="1"/>
      <c r="AB284" s="1"/>
      <c r="AC284" s="1"/>
      <c r="AD284" s="1"/>
      <c r="AE284" s="1"/>
      <c r="AF284" s="1">
        <v>42147.25</v>
      </c>
      <c r="AG284" s="1"/>
      <c r="AH284" s="1"/>
      <c r="AI284" s="1"/>
      <c r="AJ284" s="1"/>
      <c r="AK284" s="1"/>
      <c r="AL284" s="1"/>
      <c r="AM284" s="1"/>
      <c r="AN284" s="1"/>
      <c r="AO284" s="1"/>
      <c r="AP284" s="1"/>
      <c r="AQ284" s="1"/>
      <c r="AR284" s="1">
        <v>42437.25</v>
      </c>
      <c r="AS284" s="1">
        <v>42426.25</v>
      </c>
      <c r="AT284" s="1"/>
      <c r="AU284" s="1"/>
      <c r="AV284" s="1">
        <v>42437.25</v>
      </c>
      <c r="AW284" s="1"/>
      <c r="AX284" s="1"/>
      <c r="AY284" s="1"/>
      <c r="AZ284" s="1">
        <v>42437.25</v>
      </c>
      <c r="BA284" s="1"/>
      <c r="BB284" s="1"/>
      <c r="BC284" s="1"/>
      <c r="BD284" s="1"/>
      <c r="BE284" s="1"/>
      <c r="BF284" s="1"/>
      <c r="BG284" s="1"/>
      <c r="BH284" s="1"/>
      <c r="BI284" s="1"/>
      <c r="BJ284" s="1"/>
      <c r="BK284" s="1"/>
      <c r="BL284" s="1"/>
      <c r="BM284" s="1">
        <v>42438.25</v>
      </c>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row>
    <row r="285" spans="1:216" x14ac:dyDescent="0.3">
      <c r="A285" s="3" t="str">
        <f>HYPERLINK("https://hpr-rps.hres.ca/reg-content/summary-basis-decision-detailTwo.php?lang=en&amp;linkID=SBD00285", "Eperzan")</f>
        <v>Eperzan</v>
      </c>
      <c r="B285" s="1" t="s">
        <v>777</v>
      </c>
      <c r="C285" s="1" t="s">
        <v>96</v>
      </c>
      <c r="D285" s="1" t="s">
        <v>778</v>
      </c>
      <c r="E285" s="1">
        <v>40738.25</v>
      </c>
      <c r="F285" s="1"/>
      <c r="G285" s="1"/>
      <c r="H285" s="1">
        <v>41418.25</v>
      </c>
      <c r="I285" s="1"/>
      <c r="J285" s="1"/>
      <c r="K285" s="1"/>
      <c r="L285" s="1"/>
      <c r="M285" s="1"/>
      <c r="N285" s="1"/>
      <c r="O285" s="1"/>
      <c r="P285" s="1"/>
      <c r="Q285" s="1"/>
      <c r="R285" s="1"/>
      <c r="S285" s="1"/>
      <c r="T285" s="1"/>
      <c r="U285" s="1"/>
      <c r="V285" s="1"/>
      <c r="W285" s="1"/>
      <c r="X285" s="1"/>
      <c r="Y285" s="1"/>
      <c r="Z285" s="1"/>
      <c r="AA285" s="1"/>
      <c r="AB285" s="1"/>
      <c r="AC285" s="1"/>
      <c r="AD285" s="1"/>
      <c r="AE285" s="1"/>
      <c r="AF285" s="1">
        <v>41474.25</v>
      </c>
      <c r="AG285" s="1"/>
      <c r="AH285" s="1"/>
      <c r="AI285" s="1"/>
      <c r="AJ285" s="1"/>
      <c r="AK285" s="1"/>
      <c r="AL285" s="1"/>
      <c r="AM285" s="1"/>
      <c r="AN285" s="1"/>
      <c r="AO285" s="1">
        <v>41715.208333333343</v>
      </c>
      <c r="AP285" s="1"/>
      <c r="AQ285" s="1"/>
      <c r="AR285" s="1">
        <v>41766.25</v>
      </c>
      <c r="AS285" s="1"/>
      <c r="AT285" s="1"/>
      <c r="AU285" s="1"/>
      <c r="AV285" s="1">
        <v>41766.25</v>
      </c>
      <c r="AW285" s="1"/>
      <c r="AX285" s="1"/>
      <c r="AY285" s="1"/>
      <c r="AZ285" s="1">
        <v>41766.25</v>
      </c>
      <c r="BA285" s="1"/>
      <c r="BB285" s="1"/>
      <c r="BC285" s="1"/>
      <c r="BD285" s="1"/>
      <c r="BE285" s="1"/>
      <c r="BF285" s="1"/>
      <c r="BG285" s="1"/>
      <c r="BH285" s="1"/>
      <c r="BI285" s="1"/>
      <c r="BJ285" s="1"/>
      <c r="BK285" s="1"/>
      <c r="BL285" s="1"/>
      <c r="BM285" s="1"/>
      <c r="BN285" s="1"/>
      <c r="BO285" s="1"/>
      <c r="BP285" s="1">
        <v>41766.25</v>
      </c>
      <c r="BQ285" s="1"/>
      <c r="BR285" s="1"/>
      <c r="BS285" s="1"/>
      <c r="BT285" s="1"/>
      <c r="BU285" s="1"/>
      <c r="BV285" s="1"/>
      <c r="BW285" s="1"/>
      <c r="BX285" s="1"/>
      <c r="BY285" s="1">
        <v>41872.25</v>
      </c>
      <c r="BZ285" s="1"/>
      <c r="CA285" s="1"/>
      <c r="CB285" s="1"/>
      <c r="CC285" s="1"/>
      <c r="CD285" s="1"/>
      <c r="CE285" s="1"/>
      <c r="CF285" s="1"/>
      <c r="CG285" s="1"/>
      <c r="CH285" s="1"/>
      <c r="CI285" s="1"/>
      <c r="CJ285" s="1"/>
      <c r="CK285" s="1"/>
      <c r="CL285" s="1"/>
      <c r="CM285" s="1"/>
      <c r="CN285" s="1"/>
      <c r="CO285" s="1"/>
      <c r="CP285" s="1"/>
      <c r="CQ285" s="1"/>
      <c r="CR285" s="1">
        <v>41900.25</v>
      </c>
      <c r="CS285" s="1"/>
      <c r="CT285" s="1"/>
      <c r="CU285" s="1"/>
      <c r="CV285" s="1"/>
      <c r="CW285" s="1"/>
      <c r="CX285" s="1"/>
      <c r="CY285" s="1"/>
      <c r="CZ285" s="1"/>
      <c r="DA285" s="1"/>
      <c r="DB285" s="1"/>
      <c r="DC285" s="1"/>
      <c r="DD285" s="1">
        <v>42194.25</v>
      </c>
      <c r="DE285" s="1"/>
      <c r="DF285" s="1"/>
      <c r="DG285" s="1"/>
      <c r="DH285" s="1">
        <v>42076.208333333343</v>
      </c>
      <c r="DI285" s="1"/>
      <c r="DJ285" s="1"/>
      <c r="DK285" s="1"/>
      <c r="DL285" s="1">
        <v>42139.25</v>
      </c>
      <c r="DM285" s="1"/>
      <c r="DN285" s="1"/>
      <c r="DO285" s="1"/>
      <c r="DP285" s="1"/>
      <c r="DQ285" s="1"/>
      <c r="DR285" s="1"/>
      <c r="DS285" s="1"/>
      <c r="DT285" s="1"/>
      <c r="DU285" s="1"/>
      <c r="DV285" s="1"/>
      <c r="DW285" s="1"/>
      <c r="DX285" s="1"/>
      <c r="DY285" s="1">
        <v>42200.25</v>
      </c>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row>
    <row r="286" spans="1:216" x14ac:dyDescent="0.3">
      <c r="A286" s="3" t="str">
        <f>HYPERLINK("https://hpr-rps.hres.ca/reg-content/summary-basis-decision-detailTwo.php?lang=en&amp;linkID=SBD00286", "Genvoya")</f>
        <v>Genvoya</v>
      </c>
      <c r="B286" s="1" t="s">
        <v>779</v>
      </c>
      <c r="C286" s="1" t="s">
        <v>134</v>
      </c>
      <c r="D286" s="1" t="s">
        <v>780</v>
      </c>
      <c r="E286" s="1">
        <v>41956.25</v>
      </c>
      <c r="F286" s="1"/>
      <c r="G286" s="1"/>
      <c r="H286" s="1"/>
      <c r="I286" s="1"/>
      <c r="J286" s="1"/>
      <c r="K286" s="1"/>
      <c r="L286" s="1"/>
      <c r="M286" s="1"/>
      <c r="N286" s="1">
        <v>41982.25</v>
      </c>
      <c r="O286" s="1"/>
      <c r="P286" s="1"/>
      <c r="Q286" s="1"/>
      <c r="R286" s="1"/>
      <c r="S286" s="1"/>
      <c r="T286" s="1">
        <v>42012.25</v>
      </c>
      <c r="U286" s="1"/>
      <c r="V286" s="1">
        <v>42023.25</v>
      </c>
      <c r="W286" s="1"/>
      <c r="X286" s="1"/>
      <c r="Y286" s="1"/>
      <c r="Z286" s="1"/>
      <c r="AA286" s="1"/>
      <c r="AB286" s="1"/>
      <c r="AC286" s="1"/>
      <c r="AD286" s="1"/>
      <c r="AE286" s="1"/>
      <c r="AF286" s="1">
        <v>42058.25</v>
      </c>
      <c r="AG286" s="1"/>
      <c r="AH286" s="1"/>
      <c r="AI286" s="1"/>
      <c r="AJ286" s="1"/>
      <c r="AK286" s="1"/>
      <c r="AL286" s="1"/>
      <c r="AM286" s="1"/>
      <c r="AN286" s="1"/>
      <c r="AO286" s="1"/>
      <c r="AP286" s="1"/>
      <c r="AQ286" s="1"/>
      <c r="AR286" s="1">
        <v>42332.25</v>
      </c>
      <c r="AS286" s="1"/>
      <c r="AT286" s="1"/>
      <c r="AU286" s="1"/>
      <c r="AV286" s="1">
        <v>42318.25</v>
      </c>
      <c r="AW286" s="1"/>
      <c r="AX286" s="1"/>
      <c r="AY286" s="1"/>
      <c r="AZ286" s="1">
        <v>42318.25</v>
      </c>
      <c r="BA286" s="1"/>
      <c r="BB286" s="1"/>
      <c r="BC286" s="1"/>
      <c r="BD286" s="1"/>
      <c r="BE286" s="1"/>
      <c r="BF286" s="1"/>
      <c r="BG286" s="1"/>
      <c r="BH286" s="1"/>
      <c r="BI286" s="1"/>
      <c r="BJ286" s="1"/>
      <c r="BK286" s="1"/>
      <c r="BL286" s="1"/>
      <c r="BM286" s="1">
        <v>42335.25</v>
      </c>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row>
    <row r="287" spans="1:216" x14ac:dyDescent="0.3">
      <c r="A287" s="3" t="str">
        <f>HYPERLINK("https://hpr-rps.hres.ca/reg-content/summary-basis-decision-detailTwo.php?lang=en&amp;linkID=SBD00287", "Ibrance")</f>
        <v>Ibrance</v>
      </c>
      <c r="B287" s="1" t="s">
        <v>781</v>
      </c>
      <c r="C287" s="1" t="s">
        <v>143</v>
      </c>
      <c r="D287" s="1" t="s">
        <v>782</v>
      </c>
      <c r="E287" s="1">
        <v>41396.25</v>
      </c>
      <c r="F287" s="1">
        <v>41920.25</v>
      </c>
      <c r="G287" s="1">
        <v>41978.25</v>
      </c>
      <c r="H287" s="1">
        <v>42047.25</v>
      </c>
      <c r="I287" s="1"/>
      <c r="J287" s="1"/>
      <c r="K287" s="1"/>
      <c r="L287" s="1"/>
      <c r="M287" s="1"/>
      <c r="N287" s="1"/>
      <c r="O287" s="1"/>
      <c r="P287" s="1"/>
      <c r="Q287" s="1"/>
      <c r="R287" s="1"/>
      <c r="S287" s="1"/>
      <c r="T287" s="1"/>
      <c r="U287" s="1"/>
      <c r="V287" s="1"/>
      <c r="W287" s="1"/>
      <c r="X287" s="1"/>
      <c r="Y287" s="1"/>
      <c r="Z287" s="1"/>
      <c r="AA287" s="1"/>
      <c r="AB287" s="1"/>
      <c r="AC287" s="1"/>
      <c r="AD287" s="1"/>
      <c r="AE287" s="1"/>
      <c r="AF287" s="1">
        <v>42090.208333333343</v>
      </c>
      <c r="AG287" s="1"/>
      <c r="AH287" s="1"/>
      <c r="AI287" s="1"/>
      <c r="AJ287" s="1"/>
      <c r="AK287" s="1"/>
      <c r="AL287" s="1"/>
      <c r="AM287" s="1"/>
      <c r="AN287" s="1"/>
      <c r="AO287" s="1"/>
      <c r="AP287" s="1"/>
      <c r="AQ287" s="1"/>
      <c r="AR287" s="1">
        <v>42389.25</v>
      </c>
      <c r="AS287" s="1">
        <v>42339.25</v>
      </c>
      <c r="AT287" s="1"/>
      <c r="AU287" s="1"/>
      <c r="AV287" s="1">
        <v>42377.25</v>
      </c>
      <c r="AW287" s="1"/>
      <c r="AX287" s="1"/>
      <c r="AY287" s="1"/>
      <c r="AZ287" s="1">
        <v>42389.25</v>
      </c>
      <c r="BA287" s="1"/>
      <c r="BB287" s="1"/>
      <c r="BC287" s="1"/>
      <c r="BD287" s="1"/>
      <c r="BE287" s="1"/>
      <c r="BF287" s="1"/>
      <c r="BG287" s="1"/>
      <c r="BH287" s="1"/>
      <c r="BI287" s="1"/>
      <c r="BJ287" s="1"/>
      <c r="BK287" s="1"/>
      <c r="BL287" s="1">
        <v>42390.25</v>
      </c>
      <c r="BM287" s="1">
        <v>42445.208333333343</v>
      </c>
      <c r="BN287" s="1"/>
      <c r="BO287" s="1"/>
      <c r="BP287" s="1"/>
      <c r="BQ287" s="1"/>
      <c r="BR287" s="1"/>
      <c r="BS287" s="1"/>
      <c r="BT287" s="1"/>
      <c r="BU287" s="1"/>
      <c r="BV287" s="1"/>
      <c r="BW287" s="1"/>
      <c r="BX287" s="1"/>
      <c r="BY287" s="1">
        <v>42411.25</v>
      </c>
      <c r="BZ287" s="1"/>
      <c r="CA287" s="1"/>
      <c r="CB287" s="1"/>
      <c r="CC287" s="1">
        <v>42443.208333333343</v>
      </c>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row>
    <row r="288" spans="1:216" x14ac:dyDescent="0.3">
      <c r="A288" s="3" t="str">
        <f>HYPERLINK("https://hpr-rps.hres.ca/reg-content/summary-basis-decision-detailTwo.php?lang=en&amp;linkID=SBD00288", "Idelvion")</f>
        <v>Idelvion</v>
      </c>
      <c r="B288" s="1" t="s">
        <v>783</v>
      </c>
      <c r="C288" s="1" t="s">
        <v>126</v>
      </c>
      <c r="D288" s="1" t="s">
        <v>784</v>
      </c>
      <c r="E288" s="1"/>
      <c r="F288" s="1"/>
      <c r="G288" s="1"/>
      <c r="H288" s="1">
        <v>42044.25</v>
      </c>
      <c r="I288" s="1"/>
      <c r="J288" s="1"/>
      <c r="K288" s="1"/>
      <c r="L288" s="1"/>
      <c r="M288" s="1"/>
      <c r="N288" s="1"/>
      <c r="O288" s="1"/>
      <c r="P288" s="1"/>
      <c r="Q288" s="1"/>
      <c r="R288" s="1"/>
      <c r="S288" s="1"/>
      <c r="T288" s="1"/>
      <c r="U288" s="1"/>
      <c r="V288" s="1"/>
      <c r="W288" s="1"/>
      <c r="X288" s="1"/>
      <c r="Y288" s="1"/>
      <c r="Z288" s="1"/>
      <c r="AA288" s="1"/>
      <c r="AB288" s="1"/>
      <c r="AC288" s="1"/>
      <c r="AD288" s="1"/>
      <c r="AE288" s="1"/>
      <c r="AF288" s="1">
        <v>42095.25</v>
      </c>
      <c r="AG288" s="1"/>
      <c r="AH288" s="1"/>
      <c r="AI288" s="1"/>
      <c r="AJ288" s="1"/>
      <c r="AK288" s="1"/>
      <c r="AL288" s="1"/>
      <c r="AM288" s="1"/>
      <c r="AN288" s="1"/>
      <c r="AO288" s="1">
        <v>42310.25</v>
      </c>
      <c r="AP288" s="1"/>
      <c r="AQ288" s="1"/>
      <c r="AR288" s="1">
        <v>42383.25</v>
      </c>
      <c r="AS288" s="1"/>
      <c r="AT288" s="1"/>
      <c r="AU288" s="1"/>
      <c r="AV288" s="1">
        <v>42390.25</v>
      </c>
      <c r="AW288" s="1"/>
      <c r="AX288" s="1"/>
      <c r="AY288" s="1"/>
      <c r="AZ288" s="1">
        <v>42376.25</v>
      </c>
      <c r="BA288" s="1"/>
      <c r="BB288" s="1"/>
      <c r="BC288" s="1"/>
      <c r="BD288" s="1"/>
      <c r="BE288" s="1"/>
      <c r="BF288" s="1"/>
      <c r="BG288" s="1"/>
      <c r="BH288" s="1"/>
      <c r="BI288" s="1"/>
      <c r="BJ288" s="1"/>
      <c r="BK288" s="1"/>
      <c r="BL288" s="1"/>
      <c r="BM288" s="1">
        <v>42395.25</v>
      </c>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row>
    <row r="289" spans="1:216" x14ac:dyDescent="0.3">
      <c r="A289" s="3" t="str">
        <f>HYPERLINK("https://hpr-rps.hres.ca/reg-content/summary-basis-decision-detailTwo.php?lang=en&amp;linkID=SBD00290", "Kyprolis")</f>
        <v>Kyprolis</v>
      </c>
      <c r="B289" s="1" t="s">
        <v>785</v>
      </c>
      <c r="C289" s="1" t="s">
        <v>286</v>
      </c>
      <c r="D289" s="1" t="s">
        <v>786</v>
      </c>
      <c r="E289" s="1">
        <v>42129.25</v>
      </c>
      <c r="F289" s="1"/>
      <c r="G289" s="1"/>
      <c r="H289" s="1"/>
      <c r="I289" s="1"/>
      <c r="J289" s="1"/>
      <c r="K289" s="1"/>
      <c r="L289" s="1"/>
      <c r="M289" s="1"/>
      <c r="N289" s="1">
        <v>42048.25</v>
      </c>
      <c r="O289" s="1"/>
      <c r="P289" s="1"/>
      <c r="Q289" s="1"/>
      <c r="R289" s="1"/>
      <c r="S289" s="1">
        <v>42079.208333333343</v>
      </c>
      <c r="T289" s="1"/>
      <c r="U289" s="1"/>
      <c r="V289" s="1">
        <v>42143.25</v>
      </c>
      <c r="W289" s="1"/>
      <c r="X289" s="1"/>
      <c r="Y289" s="1"/>
      <c r="Z289" s="1">
        <v>42170.25</v>
      </c>
      <c r="AA289" s="1"/>
      <c r="AB289" s="1"/>
      <c r="AC289" s="1">
        <v>42184.25</v>
      </c>
      <c r="AD289" s="1"/>
      <c r="AE289" s="1"/>
      <c r="AF289" s="1">
        <v>42206.25</v>
      </c>
      <c r="AG289" s="1"/>
      <c r="AH289" s="1"/>
      <c r="AI289" s="1"/>
      <c r="AJ289" s="1"/>
      <c r="AK289" s="1"/>
      <c r="AL289" s="1"/>
      <c r="AM289" s="1"/>
      <c r="AN289" s="1"/>
      <c r="AO289" s="1"/>
      <c r="AP289" s="1"/>
      <c r="AQ289" s="1"/>
      <c r="AR289" s="1">
        <v>42383.25</v>
      </c>
      <c r="AS289" s="1"/>
      <c r="AT289" s="1"/>
      <c r="AU289" s="1"/>
      <c r="AV289" s="1">
        <v>42380.25</v>
      </c>
      <c r="AW289" s="1"/>
      <c r="AX289" s="1"/>
      <c r="AY289" s="1"/>
      <c r="AZ289" s="1">
        <v>42384.25</v>
      </c>
      <c r="BA289" s="1"/>
      <c r="BB289" s="1"/>
      <c r="BC289" s="1"/>
      <c r="BD289" s="1"/>
      <c r="BE289" s="1"/>
      <c r="BF289" s="1"/>
      <c r="BG289" s="1"/>
      <c r="BH289" s="1"/>
      <c r="BI289" s="1"/>
      <c r="BJ289" s="1"/>
      <c r="BK289" s="1"/>
      <c r="BL289" s="1"/>
      <c r="BM289" s="1">
        <v>42384.25</v>
      </c>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row>
    <row r="290" spans="1:216" x14ac:dyDescent="0.3">
      <c r="A290" s="3" t="str">
        <f>HYPERLINK("https://hpr-rps.hres.ca/reg-content/summary-basis-decision-detailTwo.php?lang=en&amp;linkID=SBD00292", "Lynparza")</f>
        <v>Lynparza</v>
      </c>
      <c r="B290" s="1" t="s">
        <v>787</v>
      </c>
      <c r="C290" s="1" t="s">
        <v>137</v>
      </c>
      <c r="D290" s="1" t="s">
        <v>788</v>
      </c>
      <c r="E290" s="1">
        <v>41585.25</v>
      </c>
      <c r="F290" s="1"/>
      <c r="G290" s="1"/>
      <c r="H290" s="1">
        <v>42079.208333333343</v>
      </c>
      <c r="I290" s="1"/>
      <c r="J290" s="1"/>
      <c r="K290" s="1"/>
      <c r="L290" s="1"/>
      <c r="M290" s="1"/>
      <c r="N290" s="1"/>
      <c r="O290" s="1"/>
      <c r="P290" s="1"/>
      <c r="Q290" s="1"/>
      <c r="R290" s="1"/>
      <c r="S290" s="1"/>
      <c r="T290" s="1"/>
      <c r="U290" s="1"/>
      <c r="V290" s="1"/>
      <c r="W290" s="1"/>
      <c r="X290" s="1"/>
      <c r="Y290" s="1"/>
      <c r="Z290" s="1">
        <v>42125.25</v>
      </c>
      <c r="AA290" s="1"/>
      <c r="AB290" s="1"/>
      <c r="AC290" s="1">
        <v>42135.25</v>
      </c>
      <c r="AD290" s="1"/>
      <c r="AE290" s="1"/>
      <c r="AF290" s="1">
        <v>42159.25</v>
      </c>
      <c r="AG290" s="1"/>
      <c r="AH290" s="1"/>
      <c r="AI290" s="1"/>
      <c r="AJ290" s="1"/>
      <c r="AK290" s="1"/>
      <c r="AL290" s="1"/>
      <c r="AM290" s="1"/>
      <c r="AN290" s="1"/>
      <c r="AO290" s="1"/>
      <c r="AP290" s="1"/>
      <c r="AQ290" s="1"/>
      <c r="AR290" s="1">
        <v>42472.25</v>
      </c>
      <c r="AS290" s="1">
        <v>42444.208333333343</v>
      </c>
      <c r="AT290" s="1"/>
      <c r="AU290" s="1"/>
      <c r="AV290" s="1">
        <v>42451.208333333343</v>
      </c>
      <c r="AW290" s="1"/>
      <c r="AX290" s="1">
        <v>42417.25</v>
      </c>
      <c r="AY290" s="1"/>
      <c r="AZ290" s="1">
        <v>42485.25</v>
      </c>
      <c r="BA290" s="1"/>
      <c r="BB290" s="1"/>
      <c r="BC290" s="1"/>
      <c r="BD290" s="1"/>
      <c r="BE290" s="1"/>
      <c r="BF290" s="1"/>
      <c r="BG290" s="1"/>
      <c r="BH290" s="1">
        <v>42405.25</v>
      </c>
      <c r="BI290" s="1"/>
      <c r="BJ290" s="1"/>
      <c r="BK290" s="1"/>
      <c r="BL290" s="1">
        <v>42458.25</v>
      </c>
      <c r="BM290" s="1">
        <v>42489.25</v>
      </c>
      <c r="BN290" s="1"/>
      <c r="BO290" s="1"/>
      <c r="BP290" s="1"/>
      <c r="BQ290" s="1"/>
      <c r="BR290" s="1"/>
      <c r="BS290" s="1"/>
      <c r="BT290" s="1"/>
      <c r="BU290" s="1"/>
      <c r="BV290" s="1"/>
      <c r="BW290" s="1"/>
      <c r="BX290" s="1"/>
      <c r="BY290" s="1">
        <v>42461.25</v>
      </c>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row>
    <row r="291" spans="1:216" x14ac:dyDescent="0.3">
      <c r="A291" s="3" t="str">
        <f>HYPERLINK("https://hpr-rps.hres.ca/reg-content/summary-basis-decision-detailTwo.php?lang=en&amp;linkID=SBD00293", "Opdivo")</f>
        <v>Opdivo</v>
      </c>
      <c r="B291" s="1" t="s">
        <v>789</v>
      </c>
      <c r="C291" s="1" t="s">
        <v>81</v>
      </c>
      <c r="D291" s="1" t="s">
        <v>790</v>
      </c>
      <c r="E291" s="1">
        <v>41940.208333333343</v>
      </c>
      <c r="F291" s="1"/>
      <c r="G291" s="1"/>
      <c r="H291" s="1"/>
      <c r="I291" s="1"/>
      <c r="J291" s="1"/>
      <c r="K291" s="1"/>
      <c r="L291" s="1"/>
      <c r="M291" s="1"/>
      <c r="N291" s="1">
        <v>41953.25</v>
      </c>
      <c r="O291" s="1"/>
      <c r="P291" s="1"/>
      <c r="Q291" s="1"/>
      <c r="R291" s="1"/>
      <c r="S291" s="1">
        <v>41974.25</v>
      </c>
      <c r="T291" s="1"/>
      <c r="U291" s="1"/>
      <c r="V291" s="1">
        <v>41992.25</v>
      </c>
      <c r="W291" s="1"/>
      <c r="X291" s="1"/>
      <c r="Y291" s="1"/>
      <c r="Z291" s="1">
        <v>42037.25</v>
      </c>
      <c r="AA291" s="1"/>
      <c r="AB291" s="1"/>
      <c r="AC291" s="1">
        <v>42065.25</v>
      </c>
      <c r="AD291" s="1"/>
      <c r="AE291" s="1"/>
      <c r="AF291" s="1">
        <v>42093.25</v>
      </c>
      <c r="AG291" s="1"/>
      <c r="AH291" s="1"/>
      <c r="AI291" s="1"/>
      <c r="AJ291" s="1"/>
      <c r="AK291" s="1"/>
      <c r="AL291" s="1"/>
      <c r="AM291" s="1"/>
      <c r="AN291" s="1"/>
      <c r="AO291" s="1"/>
      <c r="AP291" s="1"/>
      <c r="AQ291" s="1"/>
      <c r="AR291" s="1">
        <v>42271.25</v>
      </c>
      <c r="AS291" s="1"/>
      <c r="AT291" s="1"/>
      <c r="AU291" s="1"/>
      <c r="AV291" s="1">
        <v>42272.25</v>
      </c>
      <c r="AW291" s="1"/>
      <c r="AX291" s="1"/>
      <c r="AY291" s="1"/>
      <c r="AZ291" s="1">
        <v>42272.25</v>
      </c>
      <c r="BA291" s="1"/>
      <c r="BB291" s="1"/>
      <c r="BC291" s="1"/>
      <c r="BD291" s="1"/>
      <c r="BE291" s="1"/>
      <c r="BF291" s="1"/>
      <c r="BG291" s="1"/>
      <c r="BH291" s="1"/>
      <c r="BI291" s="1"/>
      <c r="BJ291" s="1"/>
      <c r="BK291" s="1"/>
      <c r="BL291" s="1"/>
      <c r="BM291" s="1">
        <v>42272.25</v>
      </c>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row>
    <row r="292" spans="1:216" x14ac:dyDescent="0.3">
      <c r="A292" s="3" t="str">
        <f>HYPERLINK("https://hpr-rps.hres.ca/reg-content/summary-basis-decision-detailTwo.php?lang=en&amp;linkID=SBD00294", "Orkambi")</f>
        <v>Orkambi</v>
      </c>
      <c r="B292" s="1" t="s">
        <v>791</v>
      </c>
      <c r="C292" s="1" t="s">
        <v>232</v>
      </c>
      <c r="D292" s="1" t="s">
        <v>792</v>
      </c>
      <c r="E292" s="1">
        <v>41914.25</v>
      </c>
      <c r="F292" s="1"/>
      <c r="G292" s="1"/>
      <c r="H292" s="1"/>
      <c r="I292" s="1"/>
      <c r="J292" s="1"/>
      <c r="K292" s="1"/>
      <c r="L292" s="1"/>
      <c r="M292" s="1"/>
      <c r="N292" s="1">
        <v>41984.25</v>
      </c>
      <c r="O292" s="1"/>
      <c r="P292" s="1"/>
      <c r="Q292" s="1"/>
      <c r="R292" s="1"/>
      <c r="S292" s="1">
        <v>42016.25</v>
      </c>
      <c r="T292" s="1"/>
      <c r="U292" s="1"/>
      <c r="V292" s="1">
        <v>42034.25</v>
      </c>
      <c r="W292" s="1"/>
      <c r="X292" s="1"/>
      <c r="Y292" s="1"/>
      <c r="Z292" s="1"/>
      <c r="AA292" s="1"/>
      <c r="AB292" s="1"/>
      <c r="AC292" s="1"/>
      <c r="AD292" s="1"/>
      <c r="AE292" s="1"/>
      <c r="AF292" s="1">
        <v>42069.25</v>
      </c>
      <c r="AG292" s="1"/>
      <c r="AH292" s="1"/>
      <c r="AI292" s="1"/>
      <c r="AJ292" s="1"/>
      <c r="AK292" s="1"/>
      <c r="AL292" s="1"/>
      <c r="AM292" s="1"/>
      <c r="AN292" s="1"/>
      <c r="AO292" s="1"/>
      <c r="AP292" s="1"/>
      <c r="AQ292" s="1"/>
      <c r="AR292" s="1">
        <v>42238.25</v>
      </c>
      <c r="AS292" s="1">
        <v>42205.25</v>
      </c>
      <c r="AT292" s="1"/>
      <c r="AU292" s="1"/>
      <c r="AV292" s="1">
        <v>42249.25</v>
      </c>
      <c r="AW292" s="1"/>
      <c r="AX292" s="1"/>
      <c r="AY292" s="1"/>
      <c r="AZ292" s="1">
        <v>42269.25</v>
      </c>
      <c r="BA292" s="1"/>
      <c r="BB292" s="1"/>
      <c r="BC292" s="1"/>
      <c r="BD292" s="1"/>
      <c r="BE292" s="1"/>
      <c r="BF292" s="1"/>
      <c r="BG292" s="1"/>
      <c r="BH292" s="1"/>
      <c r="BI292" s="1"/>
      <c r="BJ292" s="1"/>
      <c r="BK292" s="1"/>
      <c r="BL292" s="1"/>
      <c r="BM292" s="1"/>
      <c r="BN292" s="1"/>
      <c r="BO292" s="1"/>
      <c r="BP292" s="1"/>
      <c r="BQ292" s="1"/>
      <c r="BR292" s="1"/>
      <c r="BS292" s="1"/>
      <c r="BT292" s="1">
        <v>42269.25</v>
      </c>
      <c r="BU292" s="1"/>
      <c r="BV292" s="1"/>
      <c r="BW292" s="1"/>
      <c r="BX292" s="1"/>
      <c r="BY292" s="1">
        <v>42303.208333333343</v>
      </c>
      <c r="BZ292" s="1"/>
      <c r="CA292" s="1"/>
      <c r="CB292" s="1"/>
      <c r="CC292" s="1"/>
      <c r="CD292" s="1"/>
      <c r="CE292" s="1"/>
      <c r="CF292" s="1"/>
      <c r="CG292" s="1"/>
      <c r="CH292" s="1"/>
      <c r="CI292" s="1"/>
      <c r="CJ292" s="1"/>
      <c r="CK292" s="1"/>
      <c r="CL292" s="1"/>
      <c r="CM292" s="1"/>
      <c r="CN292" s="1"/>
      <c r="CO292" s="1"/>
      <c r="CP292" s="1"/>
      <c r="CQ292" s="1"/>
      <c r="CR292" s="1">
        <v>42305.208333333343</v>
      </c>
      <c r="CS292" s="1"/>
      <c r="CT292" s="1"/>
      <c r="CU292" s="1"/>
      <c r="CV292" s="1"/>
      <c r="CW292" s="1"/>
      <c r="CX292" s="1"/>
      <c r="CY292" s="1"/>
      <c r="CZ292" s="1"/>
      <c r="DA292" s="1"/>
      <c r="DB292" s="1"/>
      <c r="DC292" s="1"/>
      <c r="DD292" s="1">
        <v>42390.25</v>
      </c>
      <c r="DE292" s="1"/>
      <c r="DF292" s="1"/>
      <c r="DG292" s="1"/>
      <c r="DH292" s="1"/>
      <c r="DI292" s="1"/>
      <c r="DJ292" s="1"/>
      <c r="DK292" s="1"/>
      <c r="DL292" s="1">
        <v>42390.25</v>
      </c>
      <c r="DM292" s="1"/>
      <c r="DN292" s="1"/>
      <c r="DO292" s="1"/>
      <c r="DP292" s="1"/>
      <c r="DQ292" s="1"/>
      <c r="DR292" s="1"/>
      <c r="DS292" s="1"/>
      <c r="DT292" s="1"/>
      <c r="DU292" s="1"/>
      <c r="DV292" s="1"/>
      <c r="DW292" s="1"/>
      <c r="DX292" s="1"/>
      <c r="DY292" s="1">
        <v>42395.25</v>
      </c>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row>
    <row r="293" spans="1:216" x14ac:dyDescent="0.3">
      <c r="A293" s="3" t="str">
        <f>HYPERLINK("https://hpr-rps.hres.ca/reg-content/summary-basis-decision-detailOne.php?lang=en&amp;linkID=SBD00307", "Volibris TM")</f>
        <v>Volibris TM</v>
      </c>
      <c r="B293" s="1" t="s">
        <v>793</v>
      </c>
      <c r="C293" s="1" t="s">
        <v>96</v>
      </c>
      <c r="D293" s="1" t="s">
        <v>794</v>
      </c>
      <c r="E293" s="1">
        <v>39114.25</v>
      </c>
      <c r="F293" s="1"/>
      <c r="G293" s="1"/>
      <c r="H293" s="1">
        <v>39175.25</v>
      </c>
      <c r="I293" s="1"/>
      <c r="J293" s="1"/>
      <c r="K293" s="1"/>
      <c r="L293" s="1"/>
      <c r="M293" s="1"/>
      <c r="N293" s="1"/>
      <c r="O293" s="1"/>
      <c r="P293" s="1"/>
      <c r="Q293" s="1"/>
      <c r="R293" s="1"/>
      <c r="S293" s="1"/>
      <c r="T293" s="1"/>
      <c r="U293" s="1"/>
      <c r="V293" s="1"/>
      <c r="W293" s="1"/>
      <c r="X293" s="1"/>
      <c r="Y293" s="1"/>
      <c r="Z293" s="1"/>
      <c r="AA293" s="1"/>
      <c r="AB293" s="1"/>
      <c r="AC293" s="1"/>
      <c r="AD293" s="1"/>
      <c r="AE293" s="1"/>
      <c r="AF293" s="1">
        <v>39227.25</v>
      </c>
      <c r="AG293" s="1"/>
      <c r="AH293" s="1"/>
      <c r="AI293" s="1"/>
      <c r="AJ293" s="1"/>
      <c r="AK293" s="1"/>
      <c r="AL293" s="1"/>
      <c r="AM293" s="1"/>
      <c r="AN293" s="1"/>
      <c r="AO293" s="1"/>
      <c r="AP293" s="1"/>
      <c r="AQ293" s="1"/>
      <c r="AR293" s="1">
        <v>39479.25</v>
      </c>
      <c r="AS293" s="1">
        <v>39469.25</v>
      </c>
      <c r="AT293" s="1"/>
      <c r="AU293" s="1"/>
      <c r="AV293" s="1">
        <v>39519.208333333343</v>
      </c>
      <c r="AW293" s="1"/>
      <c r="AX293" s="1"/>
      <c r="AY293" s="1"/>
      <c r="AZ293" s="1">
        <v>39500.25</v>
      </c>
      <c r="BA293" s="1"/>
      <c r="BB293" s="1"/>
      <c r="BC293" s="1"/>
      <c r="BD293" s="1"/>
      <c r="BE293" s="1"/>
      <c r="BF293" s="1"/>
      <c r="BG293" s="1"/>
      <c r="BH293" s="1"/>
      <c r="BI293" s="1"/>
      <c r="BJ293" s="1"/>
      <c r="BK293" s="1"/>
      <c r="BL293" s="1"/>
      <c r="BM293" s="1">
        <v>39527.208333333343</v>
      </c>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row>
    <row r="294" spans="1:216" x14ac:dyDescent="0.3">
      <c r="A294" s="3" t="str">
        <f>HYPERLINK("https://hpr-rps.hres.ca/reg-content/summary-basis-decision-detailTwo.php?lang=en&amp;linkID=SBD00296", "Ravicti")</f>
        <v>Ravicti</v>
      </c>
      <c r="B294" s="1" t="s">
        <v>795</v>
      </c>
      <c r="C294" s="1" t="s">
        <v>796</v>
      </c>
      <c r="D294" s="1" t="s">
        <v>797</v>
      </c>
      <c r="E294" s="1">
        <v>41702.25</v>
      </c>
      <c r="F294" s="1"/>
      <c r="G294" s="1"/>
      <c r="H294" s="1"/>
      <c r="I294" s="1"/>
      <c r="J294" s="1"/>
      <c r="K294" s="1"/>
      <c r="L294" s="1"/>
      <c r="M294" s="1"/>
      <c r="N294" s="1">
        <v>41703.25</v>
      </c>
      <c r="O294" s="1"/>
      <c r="P294" s="1"/>
      <c r="Q294" s="1"/>
      <c r="R294" s="1"/>
      <c r="S294" s="1">
        <v>41731.25</v>
      </c>
      <c r="T294" s="1"/>
      <c r="U294" s="1"/>
      <c r="V294" s="1">
        <v>41754.25</v>
      </c>
      <c r="W294" s="1"/>
      <c r="X294" s="1"/>
      <c r="Y294" s="1"/>
      <c r="Z294" s="1"/>
      <c r="AA294" s="1"/>
      <c r="AB294" s="1"/>
      <c r="AC294" s="1"/>
      <c r="AD294" s="1"/>
      <c r="AE294" s="1"/>
      <c r="AF294" s="1">
        <v>41789.25</v>
      </c>
      <c r="AG294" s="1"/>
      <c r="AH294" s="1"/>
      <c r="AI294" s="1"/>
      <c r="AJ294" s="1"/>
      <c r="AK294" s="1"/>
      <c r="AL294" s="1"/>
      <c r="AM294" s="1"/>
      <c r="AN294" s="1"/>
      <c r="AO294" s="1"/>
      <c r="AP294" s="1"/>
      <c r="AQ294" s="1"/>
      <c r="AR294" s="1"/>
      <c r="AS294" s="1"/>
      <c r="AT294" s="1"/>
      <c r="AU294" s="1"/>
      <c r="AV294" s="1">
        <v>41950.25</v>
      </c>
      <c r="AW294" s="1"/>
      <c r="AX294" s="1"/>
      <c r="AY294" s="1"/>
      <c r="AZ294" s="1">
        <v>41967.25</v>
      </c>
      <c r="BA294" s="1"/>
      <c r="BB294" s="1"/>
      <c r="BC294" s="1"/>
      <c r="BD294" s="1"/>
      <c r="BE294" s="1"/>
      <c r="BF294" s="1"/>
      <c r="BG294" s="1"/>
      <c r="BH294" s="1"/>
      <c r="BI294" s="1"/>
      <c r="BJ294" s="1"/>
      <c r="BK294" s="1"/>
      <c r="BL294" s="1"/>
      <c r="BM294" s="1"/>
      <c r="BN294" s="1"/>
      <c r="BO294" s="1"/>
      <c r="BP294" s="1">
        <v>41969.25</v>
      </c>
      <c r="BQ294" s="1"/>
      <c r="BR294" s="1"/>
      <c r="BS294" s="1"/>
      <c r="BT294" s="1"/>
      <c r="BU294" s="1"/>
      <c r="BV294" s="1"/>
      <c r="BW294" s="1"/>
      <c r="BX294" s="1"/>
      <c r="BY294" s="1">
        <v>41978.25</v>
      </c>
      <c r="BZ294" s="1"/>
      <c r="CA294" s="1"/>
      <c r="CB294" s="1"/>
      <c r="CC294" s="1"/>
      <c r="CD294" s="1"/>
      <c r="CE294" s="1"/>
      <c r="CF294" s="1"/>
      <c r="CG294" s="1"/>
      <c r="CH294" s="1"/>
      <c r="CI294" s="1"/>
      <c r="CJ294" s="1"/>
      <c r="CK294" s="1"/>
      <c r="CL294" s="1"/>
      <c r="CM294" s="1"/>
      <c r="CN294" s="1"/>
      <c r="CO294" s="1"/>
      <c r="CP294" s="1"/>
      <c r="CQ294" s="1"/>
      <c r="CR294" s="1">
        <v>42002.25</v>
      </c>
      <c r="CS294" s="1"/>
      <c r="CT294" s="1"/>
      <c r="CU294" s="1"/>
      <c r="CV294" s="1"/>
      <c r="CW294" s="1"/>
      <c r="CX294" s="1"/>
      <c r="CY294" s="1"/>
      <c r="CZ294" s="1"/>
      <c r="DA294" s="1"/>
      <c r="DB294" s="1"/>
      <c r="DC294" s="1"/>
      <c r="DD294" s="1">
        <v>42445.208333333343</v>
      </c>
      <c r="DE294" s="1"/>
      <c r="DF294" s="1"/>
      <c r="DG294" s="1"/>
      <c r="DH294" s="1"/>
      <c r="DI294" s="1"/>
      <c r="DJ294" s="1"/>
      <c r="DK294" s="1"/>
      <c r="DL294" s="1">
        <v>42446.208333333343</v>
      </c>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v>42168.25</v>
      </c>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row>
    <row r="295" spans="1:216" x14ac:dyDescent="0.3">
      <c r="A295" s="3" t="str">
        <f>HYPERLINK("https://hpr-rps.hres.ca/reg-content/summary-basis-decision-detailTwo.php?lang=en&amp;linkID=SBD00297", "Sunvepra")</f>
        <v>Sunvepra</v>
      </c>
      <c r="B295" s="1" t="s">
        <v>798</v>
      </c>
      <c r="C295" s="1" t="s">
        <v>81</v>
      </c>
      <c r="D295" s="1" t="s">
        <v>799</v>
      </c>
      <c r="E295" s="1"/>
      <c r="F295" s="1"/>
      <c r="G295" s="1"/>
      <c r="H295" s="1">
        <v>41775.25</v>
      </c>
      <c r="I295" s="1"/>
      <c r="J295" s="1"/>
      <c r="K295" s="1"/>
      <c r="L295" s="1"/>
      <c r="M295" s="1"/>
      <c r="N295" s="1"/>
      <c r="O295" s="1"/>
      <c r="P295" s="1"/>
      <c r="Q295" s="1"/>
      <c r="R295" s="1"/>
      <c r="S295" s="1"/>
      <c r="T295" s="1"/>
      <c r="U295" s="1"/>
      <c r="V295" s="1"/>
      <c r="W295" s="1"/>
      <c r="X295" s="1"/>
      <c r="Y295" s="1"/>
      <c r="Z295" s="1">
        <v>41835.25</v>
      </c>
      <c r="AA295" s="1"/>
      <c r="AB295" s="1"/>
      <c r="AC295" s="1"/>
      <c r="AD295" s="1"/>
      <c r="AE295" s="1"/>
      <c r="AF295" s="1"/>
      <c r="AG295" s="1"/>
      <c r="AH295" s="1"/>
      <c r="AI295" s="1"/>
      <c r="AJ295" s="1"/>
      <c r="AK295" s="1"/>
      <c r="AL295" s="1"/>
      <c r="AM295" s="1"/>
      <c r="AN295" s="1"/>
      <c r="AO295" s="1"/>
      <c r="AP295" s="1"/>
      <c r="AQ295" s="1"/>
      <c r="AR295" s="1"/>
      <c r="AS295" s="1"/>
      <c r="AT295" s="1"/>
      <c r="AU295" s="1"/>
      <c r="AV295" s="1">
        <v>42167.25</v>
      </c>
      <c r="AW295" s="1"/>
      <c r="AX295" s="1"/>
      <c r="AY295" s="1"/>
      <c r="AZ295" s="1">
        <v>42223.25</v>
      </c>
      <c r="BA295" s="1"/>
      <c r="BB295" s="1"/>
      <c r="BC295" s="1"/>
      <c r="BD295" s="1"/>
      <c r="BE295" s="1"/>
      <c r="BF295" s="1"/>
      <c r="BG295" s="1"/>
      <c r="BH295" s="1"/>
      <c r="BI295" s="1"/>
      <c r="BJ295" s="1"/>
      <c r="BK295" s="1"/>
      <c r="BL295" s="1"/>
      <c r="BM295" s="1"/>
      <c r="BN295" s="1"/>
      <c r="BO295" s="1"/>
      <c r="BP295" s="1"/>
      <c r="BQ295" s="1"/>
      <c r="BR295" s="1"/>
      <c r="BS295" s="1"/>
      <c r="BT295" s="1">
        <v>42179.25</v>
      </c>
      <c r="BU295" s="1"/>
      <c r="BV295" s="1"/>
      <c r="BW295" s="1"/>
      <c r="BX295" s="1"/>
      <c r="BY295" s="1">
        <v>42269.25</v>
      </c>
      <c r="BZ295" s="1"/>
      <c r="CA295" s="1"/>
      <c r="CB295" s="1"/>
      <c r="CC295" s="1"/>
      <c r="CD295" s="1"/>
      <c r="CE295" s="1"/>
      <c r="CF295" s="1"/>
      <c r="CG295" s="1"/>
      <c r="CH295" s="1"/>
      <c r="CI295" s="1"/>
      <c r="CJ295" s="1"/>
      <c r="CK295" s="1"/>
      <c r="CL295" s="1"/>
      <c r="CM295" s="1"/>
      <c r="CN295" s="1"/>
      <c r="CO295" s="1"/>
      <c r="CP295" s="1"/>
      <c r="CQ295" s="1"/>
      <c r="CR295" s="1">
        <v>42292.25</v>
      </c>
      <c r="CS295" s="1"/>
      <c r="CT295" s="1"/>
      <c r="CU295" s="1"/>
      <c r="CV295" s="1"/>
      <c r="CW295" s="1"/>
      <c r="CX295" s="1"/>
      <c r="CY295" s="1"/>
      <c r="CZ295" s="1"/>
      <c r="DA295" s="1"/>
      <c r="DB295" s="1"/>
      <c r="DC295" s="1"/>
      <c r="DD295" s="1">
        <v>42418.25</v>
      </c>
      <c r="DE295" s="1"/>
      <c r="DF295" s="1"/>
      <c r="DG295" s="1"/>
      <c r="DH295" s="1">
        <v>42411.25</v>
      </c>
      <c r="DI295" s="1"/>
      <c r="DJ295" s="1"/>
      <c r="DK295" s="1"/>
      <c r="DL295" s="1">
        <v>42437.25</v>
      </c>
      <c r="DM295" s="1"/>
      <c r="DN295" s="1"/>
      <c r="DO295" s="1"/>
      <c r="DP295" s="1"/>
      <c r="DQ295" s="1"/>
      <c r="DR295" s="1"/>
      <c r="DS295" s="1"/>
      <c r="DT295" s="1"/>
      <c r="DU295" s="1"/>
      <c r="DV295" s="1"/>
      <c r="DW295" s="1"/>
      <c r="DX295" s="1"/>
      <c r="DY295" s="1">
        <v>42438.25</v>
      </c>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row>
    <row r="296" spans="1:216" x14ac:dyDescent="0.3">
      <c r="A296" s="3" t="str">
        <f>HYPERLINK("https://hpr-rps.hres.ca/reg-content/summary-basis-decision-detailOne.php?lang=en&amp;linkID=SBD00299", "Velcade")</f>
        <v>Velcade</v>
      </c>
      <c r="B296" s="1" t="s">
        <v>800</v>
      </c>
      <c r="C296" s="1" t="s">
        <v>196</v>
      </c>
      <c r="D296" s="1" t="s">
        <v>801</v>
      </c>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v>38063.25</v>
      </c>
      <c r="AG296" s="1"/>
      <c r="AH296" s="1"/>
      <c r="AI296" s="1"/>
      <c r="AJ296" s="1"/>
      <c r="AK296" s="1"/>
      <c r="AL296" s="1"/>
      <c r="AM296" s="1"/>
      <c r="AN296" s="1"/>
      <c r="AO296" s="1"/>
      <c r="AP296" s="1"/>
      <c r="AQ296" s="1"/>
      <c r="AR296" s="1">
        <v>38331.25</v>
      </c>
      <c r="AS296" s="1"/>
      <c r="AT296" s="1"/>
      <c r="AU296" s="1"/>
      <c r="AV296" s="1">
        <v>38309.25</v>
      </c>
      <c r="AW296" s="1"/>
      <c r="AX296" s="1"/>
      <c r="AY296" s="1"/>
      <c r="AZ296" s="1">
        <v>38296.25</v>
      </c>
      <c r="BA296" s="1"/>
      <c r="BB296" s="1"/>
      <c r="BC296" s="1"/>
      <c r="BD296" s="1"/>
      <c r="BE296" s="1"/>
      <c r="BF296" s="1"/>
      <c r="BG296" s="1"/>
      <c r="BH296" s="1"/>
      <c r="BI296" s="1"/>
      <c r="BJ296" s="1"/>
      <c r="BK296" s="1">
        <v>38334.25</v>
      </c>
      <c r="BL296" s="1">
        <v>38379.25</v>
      </c>
      <c r="BM296" s="1"/>
      <c r="BN296" s="1"/>
      <c r="BO296" s="1"/>
      <c r="BP296" s="1"/>
      <c r="BQ296" s="1"/>
      <c r="BR296" s="1"/>
      <c r="BS296" s="1"/>
      <c r="BT296" s="1"/>
      <c r="BU296" s="1"/>
      <c r="BV296" s="1"/>
      <c r="BW296" s="1"/>
      <c r="BX296" s="1"/>
      <c r="BY296" s="1">
        <v>38342.25</v>
      </c>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row>
    <row r="297" spans="1:216" x14ac:dyDescent="0.3">
      <c r="A297" s="3" t="str">
        <f>HYPERLINK("https://hpr-rps.hres.ca/reg-content/summary-basis-decision-detailOne.php?lang=en&amp;linkID=SBD00303", "Victrelis TM")</f>
        <v>Victrelis TM</v>
      </c>
      <c r="B297" s="1" t="s">
        <v>802</v>
      </c>
      <c r="C297" s="1" t="s">
        <v>415</v>
      </c>
      <c r="D297" s="1" t="s">
        <v>803</v>
      </c>
      <c r="E297" s="1">
        <v>40492.25</v>
      </c>
      <c r="F297" s="1"/>
      <c r="G297" s="1"/>
      <c r="H297" s="1"/>
      <c r="I297" s="1"/>
      <c r="J297" s="1"/>
      <c r="K297" s="1"/>
      <c r="L297" s="1"/>
      <c r="M297" s="1"/>
      <c r="N297" s="1">
        <v>40490.25</v>
      </c>
      <c r="O297" s="1"/>
      <c r="P297" s="1"/>
      <c r="Q297" s="1"/>
      <c r="R297" s="1"/>
      <c r="S297" s="1">
        <v>40532.25</v>
      </c>
      <c r="T297" s="1"/>
      <c r="U297" s="1"/>
      <c r="V297" s="1">
        <v>40534.25</v>
      </c>
      <c r="W297" s="1"/>
      <c r="X297" s="1"/>
      <c r="Y297" s="1"/>
      <c r="Z297" s="1"/>
      <c r="AA297" s="1"/>
      <c r="AB297" s="1"/>
      <c r="AC297" s="1"/>
      <c r="AD297" s="1"/>
      <c r="AE297" s="1"/>
      <c r="AF297" s="1">
        <v>40575.25</v>
      </c>
      <c r="AG297" s="1"/>
      <c r="AH297" s="1"/>
      <c r="AI297" s="1"/>
      <c r="AJ297" s="1"/>
      <c r="AK297" s="1"/>
      <c r="AL297" s="1"/>
      <c r="AM297" s="1"/>
      <c r="AN297" s="1"/>
      <c r="AO297" s="1"/>
      <c r="AP297" s="1"/>
      <c r="AQ297" s="1"/>
      <c r="AR297" s="1">
        <v>40750.25</v>
      </c>
      <c r="AS297" s="1"/>
      <c r="AT297" s="1"/>
      <c r="AU297" s="1"/>
      <c r="AV297" s="1">
        <v>40730.25</v>
      </c>
      <c r="AW297" s="1"/>
      <c r="AX297" s="1"/>
      <c r="AY297" s="1"/>
      <c r="AZ297" s="1">
        <v>40750.25</v>
      </c>
      <c r="BA297" s="1"/>
      <c r="BB297" s="1"/>
      <c r="BC297" s="1"/>
      <c r="BD297" s="1"/>
      <c r="BE297" s="1"/>
      <c r="BF297" s="1"/>
      <c r="BG297" s="1"/>
      <c r="BH297" s="1"/>
      <c r="BI297" s="1"/>
      <c r="BJ297" s="1"/>
      <c r="BK297" s="1"/>
      <c r="BL297" s="1"/>
      <c r="BM297" s="1">
        <v>40753.25</v>
      </c>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row>
    <row r="298" spans="1:216" x14ac:dyDescent="0.3">
      <c r="A298" s="3" t="str">
        <f>HYPERLINK("https://hpr-rps.hres.ca/reg-content/summary-basis-decision-detailOne.php?lang=en&amp;linkID=SBD00304", "Vidaza ®")</f>
        <v>Vidaza ®</v>
      </c>
      <c r="B298" s="1" t="s">
        <v>804</v>
      </c>
      <c r="C298" s="1" t="s">
        <v>398</v>
      </c>
      <c r="D298" s="1" t="s">
        <v>805</v>
      </c>
      <c r="E298" s="1">
        <v>39828.25</v>
      </c>
      <c r="F298" s="1"/>
      <c r="G298" s="1"/>
      <c r="H298" s="1">
        <v>39898.208333333343</v>
      </c>
      <c r="I298" s="1"/>
      <c r="J298" s="1"/>
      <c r="K298" s="1"/>
      <c r="L298" s="1">
        <v>39861.25</v>
      </c>
      <c r="M298" s="1"/>
      <c r="N298" s="1">
        <v>39847.25</v>
      </c>
      <c r="O298" s="1"/>
      <c r="P298" s="1"/>
      <c r="Q298" s="1"/>
      <c r="R298" s="1"/>
      <c r="S298" s="1"/>
      <c r="T298" s="1"/>
      <c r="U298" s="1"/>
      <c r="V298" s="1"/>
      <c r="W298" s="1"/>
      <c r="X298" s="1"/>
      <c r="Y298" s="1"/>
      <c r="Z298" s="1"/>
      <c r="AA298" s="1"/>
      <c r="AB298" s="1"/>
      <c r="AC298" s="1"/>
      <c r="AD298" s="1"/>
      <c r="AE298" s="1"/>
      <c r="AF298" s="1">
        <v>39930.25</v>
      </c>
      <c r="AG298" s="1"/>
      <c r="AH298" s="1"/>
      <c r="AI298" s="1"/>
      <c r="AJ298" s="1"/>
      <c r="AK298" s="1"/>
      <c r="AL298" s="1"/>
      <c r="AM298" s="1"/>
      <c r="AN298" s="1"/>
      <c r="AO298" s="1"/>
      <c r="AP298" s="1"/>
      <c r="AQ298" s="1"/>
      <c r="AR298" s="1">
        <v>40107.25</v>
      </c>
      <c r="AS298" s="1"/>
      <c r="AT298" s="1"/>
      <c r="AU298" s="1"/>
      <c r="AV298" s="1">
        <v>40106.25</v>
      </c>
      <c r="AW298" s="1"/>
      <c r="AX298" s="1"/>
      <c r="AY298" s="1"/>
      <c r="AZ298" s="1">
        <v>40107.25</v>
      </c>
      <c r="BA298" s="1"/>
      <c r="BB298" s="1"/>
      <c r="BC298" s="1"/>
      <c r="BD298" s="1"/>
      <c r="BE298" s="1"/>
      <c r="BF298" s="1"/>
      <c r="BG298" s="1"/>
      <c r="BH298" s="1"/>
      <c r="BI298" s="1"/>
      <c r="BJ298" s="1"/>
      <c r="BK298" s="1"/>
      <c r="BL298" s="1"/>
      <c r="BM298" s="1">
        <v>40109.25</v>
      </c>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row>
    <row r="299" spans="1:216" x14ac:dyDescent="0.3">
      <c r="A299" s="3" t="str">
        <f>HYPERLINK("https://hpr-rps.hres.ca/reg-content/summary-basis-decision-detailOne.php?lang=en&amp;linkID=SBD00305", "Vimpat TM")</f>
        <v>Vimpat TM</v>
      </c>
      <c r="B299" s="1" t="s">
        <v>806</v>
      </c>
      <c r="C299" s="1" t="s">
        <v>164</v>
      </c>
      <c r="D299" s="1" t="s">
        <v>807</v>
      </c>
      <c r="E299" s="1">
        <v>39406.25</v>
      </c>
      <c r="F299" s="1"/>
      <c r="G299" s="1"/>
      <c r="H299" s="1">
        <v>39889.208333333343</v>
      </c>
      <c r="I299" s="1"/>
      <c r="J299" s="1"/>
      <c r="K299" s="1"/>
      <c r="L299" s="1"/>
      <c r="M299" s="1"/>
      <c r="N299" s="1"/>
      <c r="O299" s="1"/>
      <c r="P299" s="1"/>
      <c r="Q299" s="1"/>
      <c r="R299" s="1"/>
      <c r="S299" s="1"/>
      <c r="T299" s="1"/>
      <c r="U299" s="1"/>
      <c r="V299" s="1"/>
      <c r="W299" s="1"/>
      <c r="X299" s="1"/>
      <c r="Y299" s="1"/>
      <c r="Z299" s="1"/>
      <c r="AA299" s="1"/>
      <c r="AB299" s="1"/>
      <c r="AC299" s="1"/>
      <c r="AD299" s="1"/>
      <c r="AE299" s="1"/>
      <c r="AF299" s="1">
        <v>39941.25</v>
      </c>
      <c r="AG299" s="1"/>
      <c r="AH299" s="1"/>
      <c r="AI299" s="1"/>
      <c r="AJ299" s="1"/>
      <c r="AK299" s="1"/>
      <c r="AL299" s="1"/>
      <c r="AM299" s="1"/>
      <c r="AN299" s="1"/>
      <c r="AO299" s="1"/>
      <c r="AP299" s="1"/>
      <c r="AQ299" s="1"/>
      <c r="AR299" s="1">
        <v>40445.25</v>
      </c>
      <c r="AS299" s="1">
        <v>40367.25</v>
      </c>
      <c r="AT299" s="1"/>
      <c r="AU299" s="1"/>
      <c r="AV299" s="1">
        <v>40438.25</v>
      </c>
      <c r="AW299" s="1"/>
      <c r="AX299" s="1"/>
      <c r="AY299" s="1"/>
      <c r="AZ299" s="1">
        <v>40450.25</v>
      </c>
      <c r="BA299" s="1"/>
      <c r="BB299" s="1"/>
      <c r="BC299" s="1"/>
      <c r="BD299" s="1"/>
      <c r="BE299" s="1"/>
      <c r="BF299" s="1"/>
      <c r="BG299" s="1"/>
      <c r="BH299" s="1"/>
      <c r="BI299" s="1"/>
      <c r="BJ299" s="1"/>
      <c r="BK299" s="1"/>
      <c r="BL299" s="1"/>
      <c r="BM299" s="1">
        <v>40451.25</v>
      </c>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row>
    <row r="300" spans="1:216" x14ac:dyDescent="0.3">
      <c r="A300" s="3" t="str">
        <f>HYPERLINK("https://hpr-rps.hres.ca/reg-content/summary-basis-decision-detailOne.php?lang=en&amp;linkID=SBD00306", "Visanne ®")</f>
        <v>Visanne ®</v>
      </c>
      <c r="B300" s="1" t="s">
        <v>808</v>
      </c>
      <c r="C300" s="1" t="s">
        <v>338</v>
      </c>
      <c r="D300" s="1" t="s">
        <v>809</v>
      </c>
      <c r="E300" s="1">
        <v>39779.25</v>
      </c>
      <c r="F300" s="1"/>
      <c r="G300" s="1"/>
      <c r="H300" s="1">
        <v>40046.25</v>
      </c>
      <c r="I300" s="1"/>
      <c r="J300" s="1"/>
      <c r="K300" s="1"/>
      <c r="L300" s="1"/>
      <c r="M300" s="1"/>
      <c r="N300" s="1"/>
      <c r="O300" s="1"/>
      <c r="P300" s="1"/>
      <c r="Q300" s="1"/>
      <c r="R300" s="1"/>
      <c r="S300" s="1"/>
      <c r="T300" s="1"/>
      <c r="U300" s="1"/>
      <c r="V300" s="1"/>
      <c r="W300" s="1"/>
      <c r="X300" s="1"/>
      <c r="Y300" s="1"/>
      <c r="Z300" s="1">
        <v>40093.25</v>
      </c>
      <c r="AA300" s="1"/>
      <c r="AB300" s="1"/>
      <c r="AC300" s="1"/>
      <c r="AD300" s="1"/>
      <c r="AE300" s="1"/>
      <c r="AF300" s="1"/>
      <c r="AG300" s="1"/>
      <c r="AH300" s="1"/>
      <c r="AI300" s="1"/>
      <c r="AJ300" s="1"/>
      <c r="AK300" s="1"/>
      <c r="AL300" s="1"/>
      <c r="AM300" s="1"/>
      <c r="AN300" s="1"/>
      <c r="AO300" s="1"/>
      <c r="AP300" s="1"/>
      <c r="AQ300" s="1"/>
      <c r="AR300" s="1"/>
      <c r="AS300" s="1"/>
      <c r="AT300" s="1"/>
      <c r="AU300" s="1"/>
      <c r="AV300" s="1">
        <v>40373.25</v>
      </c>
      <c r="AW300" s="1"/>
      <c r="AX300" s="1"/>
      <c r="AY300" s="1"/>
      <c r="AZ300" s="1">
        <v>40386.25</v>
      </c>
      <c r="BA300" s="1"/>
      <c r="BB300" s="1"/>
      <c r="BC300" s="1"/>
      <c r="BD300" s="1"/>
      <c r="BE300" s="1"/>
      <c r="BF300" s="1"/>
      <c r="BG300" s="1"/>
      <c r="BH300" s="1"/>
      <c r="BI300" s="1"/>
      <c r="BJ300" s="1"/>
      <c r="BK300" s="1"/>
      <c r="BL300" s="1"/>
      <c r="BM300" s="1"/>
      <c r="BN300" s="1"/>
      <c r="BO300" s="1"/>
      <c r="BP300" s="1"/>
      <c r="BQ300" s="1"/>
      <c r="BR300" s="1"/>
      <c r="BS300" s="1"/>
      <c r="BT300" s="1"/>
      <c r="BU300" s="1">
        <v>40389.25</v>
      </c>
      <c r="BV300" s="1"/>
      <c r="BW300" s="1"/>
      <c r="BX300" s="1"/>
      <c r="BY300" s="1">
        <v>40480.25</v>
      </c>
      <c r="BZ300" s="1"/>
      <c r="CA300" s="1"/>
      <c r="CB300" s="1"/>
      <c r="CC300" s="1"/>
      <c r="CD300" s="1"/>
      <c r="CE300" s="1"/>
      <c r="CF300" s="1"/>
      <c r="CG300" s="1"/>
      <c r="CH300" s="1"/>
      <c r="CI300" s="1"/>
      <c r="CJ300" s="1"/>
      <c r="CK300" s="1"/>
      <c r="CL300" s="1"/>
      <c r="CM300" s="1"/>
      <c r="CN300" s="1"/>
      <c r="CO300" s="1"/>
      <c r="CP300" s="1"/>
      <c r="CQ300" s="1"/>
      <c r="CR300" s="1">
        <v>40528.25</v>
      </c>
      <c r="CS300" s="1"/>
      <c r="CT300" s="1"/>
      <c r="CU300" s="1"/>
      <c r="CV300" s="1"/>
      <c r="CW300" s="1"/>
      <c r="CX300" s="1"/>
      <c r="CY300" s="1"/>
      <c r="CZ300" s="1"/>
      <c r="DA300" s="1"/>
      <c r="DB300" s="1"/>
      <c r="DC300" s="1"/>
      <c r="DD300" s="1">
        <v>40828.25</v>
      </c>
      <c r="DE300" s="1"/>
      <c r="DF300" s="1"/>
      <c r="DG300" s="1"/>
      <c r="DH300" s="1">
        <v>40819.25</v>
      </c>
      <c r="DI300" s="1"/>
      <c r="DJ300" s="1"/>
      <c r="DK300" s="1"/>
      <c r="DL300" s="1">
        <v>40828.25</v>
      </c>
      <c r="DM300" s="1"/>
      <c r="DN300" s="1"/>
      <c r="DO300" s="1"/>
      <c r="DP300" s="1"/>
      <c r="DQ300" s="1"/>
      <c r="DR300" s="1"/>
      <c r="DS300" s="1"/>
      <c r="DT300" s="1"/>
      <c r="DU300" s="1"/>
      <c r="DV300" s="1"/>
      <c r="DW300" s="1"/>
      <c r="DX300" s="1"/>
      <c r="DY300" s="1">
        <v>40828.25</v>
      </c>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row>
    <row r="301" spans="1:216" x14ac:dyDescent="0.3">
      <c r="A301" s="3" t="str">
        <f>HYPERLINK("https://hpr-rps.hres.ca/reg-content/summary-basis-decision-detailOne.php?lang=en&amp;linkID=SBD00308", "Voltaren TM")</f>
        <v>Voltaren TM</v>
      </c>
      <c r="B301" s="1" t="s">
        <v>810</v>
      </c>
      <c r="C301" s="1" t="s">
        <v>811</v>
      </c>
      <c r="D301" s="1" t="s">
        <v>812</v>
      </c>
      <c r="E301" s="1"/>
      <c r="F301" s="1"/>
      <c r="G301" s="1"/>
      <c r="H301" s="1">
        <v>38674.25</v>
      </c>
      <c r="I301" s="1"/>
      <c r="J301" s="1"/>
      <c r="K301" s="1"/>
      <c r="L301" s="1"/>
      <c r="M301" s="1"/>
      <c r="N301" s="1"/>
      <c r="O301" s="1"/>
      <c r="P301" s="1"/>
      <c r="Q301" s="1"/>
      <c r="R301" s="1"/>
      <c r="S301" s="1"/>
      <c r="T301" s="1"/>
      <c r="U301" s="1"/>
      <c r="V301" s="1"/>
      <c r="W301" s="1"/>
      <c r="X301" s="1"/>
      <c r="Y301" s="1"/>
      <c r="Z301" s="1">
        <v>38729.25</v>
      </c>
      <c r="AA301" s="1"/>
      <c r="AB301" s="1"/>
      <c r="AC301" s="1">
        <v>38772.25</v>
      </c>
      <c r="AD301" s="1"/>
      <c r="AE301" s="1"/>
      <c r="AF301" s="1">
        <v>38790.25</v>
      </c>
      <c r="AG301" s="1"/>
      <c r="AH301" s="1"/>
      <c r="AI301" s="1"/>
      <c r="AJ301" s="1"/>
      <c r="AK301" s="1"/>
      <c r="AL301" s="1"/>
      <c r="AM301" s="1"/>
      <c r="AN301" s="1"/>
      <c r="AO301" s="1"/>
      <c r="AP301" s="1"/>
      <c r="AQ301" s="1"/>
      <c r="AR301" s="1">
        <v>39086.25</v>
      </c>
      <c r="AS301" s="1"/>
      <c r="AT301" s="1"/>
      <c r="AU301" s="1"/>
      <c r="AV301" s="1">
        <v>39086.25</v>
      </c>
      <c r="AW301" s="1"/>
      <c r="AX301" s="1"/>
      <c r="AY301" s="1"/>
      <c r="AZ301" s="1">
        <v>39086.25</v>
      </c>
      <c r="BA301" s="1"/>
      <c r="BB301" s="1"/>
      <c r="BC301" s="1"/>
      <c r="BD301" s="1"/>
      <c r="BE301" s="1"/>
      <c r="BF301" s="1"/>
      <c r="BG301" s="1"/>
      <c r="BH301" s="1"/>
      <c r="BI301" s="1"/>
      <c r="BJ301" s="1"/>
      <c r="BK301" s="1"/>
      <c r="BL301" s="1"/>
      <c r="BM301" s="1">
        <v>39547.25</v>
      </c>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row>
    <row r="302" spans="1:216" x14ac:dyDescent="0.3">
      <c r="A302" s="3" t="str">
        <f>HYPERLINK("https://hpr-rps.hres.ca/reg-content/summary-basis-decision-detailOne.php?lang=en&amp;linkID=SBD00309", "Votrient TM")</f>
        <v>Votrient TM</v>
      </c>
      <c r="B302" s="1" t="s">
        <v>813</v>
      </c>
      <c r="C302" s="1" t="s">
        <v>96</v>
      </c>
      <c r="D302" s="1" t="s">
        <v>814</v>
      </c>
      <c r="E302" s="1">
        <v>39891.208333333343</v>
      </c>
      <c r="F302" s="1"/>
      <c r="G302" s="1"/>
      <c r="H302" s="1">
        <v>39980.25</v>
      </c>
      <c r="I302" s="1"/>
      <c r="J302" s="1"/>
      <c r="K302" s="1"/>
      <c r="L302" s="1"/>
      <c r="M302" s="1"/>
      <c r="N302" s="1"/>
      <c r="O302" s="1"/>
      <c r="P302" s="1"/>
      <c r="Q302" s="1"/>
      <c r="R302" s="1"/>
      <c r="S302" s="1"/>
      <c r="T302" s="1"/>
      <c r="U302" s="1"/>
      <c r="V302" s="1"/>
      <c r="W302" s="1"/>
      <c r="X302" s="1"/>
      <c r="Y302" s="1"/>
      <c r="Z302" s="1"/>
      <c r="AA302" s="1"/>
      <c r="AB302" s="1"/>
      <c r="AC302" s="1"/>
      <c r="AD302" s="1"/>
      <c r="AE302" s="1"/>
      <c r="AF302" s="1">
        <v>40025.25</v>
      </c>
      <c r="AG302" s="1"/>
      <c r="AH302" s="1"/>
      <c r="AI302" s="1"/>
      <c r="AJ302" s="1"/>
      <c r="AK302" s="1"/>
      <c r="AL302" s="1"/>
      <c r="AM302" s="1"/>
      <c r="AN302" s="1"/>
      <c r="AO302" s="1"/>
      <c r="AP302" s="1"/>
      <c r="AQ302" s="1"/>
      <c r="AR302" s="1">
        <v>40324.25</v>
      </c>
      <c r="AS302" s="1"/>
      <c r="AT302" s="1"/>
      <c r="AU302" s="1"/>
      <c r="AV302" s="1">
        <v>40325.25</v>
      </c>
      <c r="AW302" s="1"/>
      <c r="AX302" s="1"/>
      <c r="AY302" s="1"/>
      <c r="AZ302" s="1">
        <v>40325.25</v>
      </c>
      <c r="BA302" s="1"/>
      <c r="BB302" s="1"/>
      <c r="BC302" s="1"/>
      <c r="BD302" s="1"/>
      <c r="BE302" s="1"/>
      <c r="BF302" s="1"/>
      <c r="BG302" s="1"/>
      <c r="BH302" s="1"/>
      <c r="BI302" s="1"/>
      <c r="BJ302" s="1"/>
      <c r="BK302" s="1"/>
      <c r="BL302" s="1"/>
      <c r="BM302" s="1">
        <v>40325.25</v>
      </c>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row>
    <row r="303" spans="1:216" x14ac:dyDescent="0.3">
      <c r="A303" s="3" t="str">
        <f>HYPERLINK("https://hpr-rps.hres.ca/reg-content/summary-basis-decision-detailOne.php?lang=en&amp;linkID=SBD00310", "Vpriv TM")</f>
        <v>Vpriv TM</v>
      </c>
      <c r="B303" s="1" t="s">
        <v>815</v>
      </c>
      <c r="C303" s="1" t="s">
        <v>207</v>
      </c>
      <c r="D303" s="1" t="s">
        <v>816</v>
      </c>
      <c r="E303" s="1">
        <v>40067.25</v>
      </c>
      <c r="F303" s="1"/>
      <c r="G303" s="1"/>
      <c r="H303" s="1"/>
      <c r="I303" s="1"/>
      <c r="J303" s="1"/>
      <c r="K303" s="1"/>
      <c r="L303" s="1"/>
      <c r="M303" s="1"/>
      <c r="N303" s="1">
        <v>40085.25</v>
      </c>
      <c r="O303" s="1"/>
      <c r="P303" s="1"/>
      <c r="Q303" s="1"/>
      <c r="R303" s="1"/>
      <c r="S303" s="1">
        <v>40110.25</v>
      </c>
      <c r="T303" s="1"/>
      <c r="U303" s="1"/>
      <c r="V303" s="1">
        <v>40107.25</v>
      </c>
      <c r="W303" s="1"/>
      <c r="X303" s="1"/>
      <c r="Y303" s="1"/>
      <c r="Z303" s="1"/>
      <c r="AA303" s="1"/>
      <c r="AB303" s="1"/>
      <c r="AC303" s="1"/>
      <c r="AD303" s="1"/>
      <c r="AE303" s="1"/>
      <c r="AF303" s="1">
        <v>40154.25</v>
      </c>
      <c r="AG303" s="1"/>
      <c r="AH303" s="1"/>
      <c r="AI303" s="1"/>
      <c r="AJ303" s="1"/>
      <c r="AK303" s="1"/>
      <c r="AL303" s="1"/>
      <c r="AM303" s="1"/>
      <c r="AN303" s="1"/>
      <c r="AO303" s="1">
        <v>40406.25</v>
      </c>
      <c r="AP303" s="1"/>
      <c r="AQ303" s="1"/>
      <c r="AR303" s="1">
        <v>40442.25</v>
      </c>
      <c r="AS303" s="1"/>
      <c r="AT303" s="1"/>
      <c r="AU303" s="1"/>
      <c r="AV303" s="1">
        <v>40452.25</v>
      </c>
      <c r="AW303" s="1"/>
      <c r="AX303" s="1"/>
      <c r="AY303" s="1"/>
      <c r="AZ303" s="1">
        <v>40452.25</v>
      </c>
      <c r="BA303" s="1"/>
      <c r="BB303" s="1"/>
      <c r="BC303" s="1"/>
      <c r="BD303" s="1"/>
      <c r="BE303" s="1"/>
      <c r="BF303" s="1"/>
      <c r="BG303" s="1"/>
      <c r="BH303" s="1"/>
      <c r="BI303" s="1"/>
      <c r="BJ303" s="1"/>
      <c r="BK303" s="1"/>
      <c r="BL303" s="1"/>
      <c r="BM303" s="1">
        <v>40452.25</v>
      </c>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row>
    <row r="304" spans="1:216" x14ac:dyDescent="0.3">
      <c r="A304" s="3" t="str">
        <f>HYPERLINK("https://hpr-rps.hres.ca/reg-content/summary-basis-decision-detailOne.php?lang=en&amp;linkID=SBD00311", "Vyvanse TM")</f>
        <v>Vyvanse TM</v>
      </c>
      <c r="B304" s="1" t="s">
        <v>817</v>
      </c>
      <c r="C304" s="1" t="s">
        <v>702</v>
      </c>
      <c r="D304" s="1" t="s">
        <v>818</v>
      </c>
      <c r="E304" s="1"/>
      <c r="F304" s="1"/>
      <c r="G304" s="1"/>
      <c r="H304" s="1">
        <v>39514.25</v>
      </c>
      <c r="I304" s="1"/>
      <c r="J304" s="1"/>
      <c r="K304" s="1"/>
      <c r="L304" s="1"/>
      <c r="M304" s="1"/>
      <c r="N304" s="1"/>
      <c r="O304" s="1"/>
      <c r="P304" s="1"/>
      <c r="Q304" s="1"/>
      <c r="R304" s="1"/>
      <c r="S304" s="1"/>
      <c r="T304" s="1"/>
      <c r="U304" s="1"/>
      <c r="V304" s="1"/>
      <c r="W304" s="1"/>
      <c r="X304" s="1"/>
      <c r="Y304" s="1"/>
      <c r="Z304" s="1"/>
      <c r="AA304" s="1"/>
      <c r="AB304" s="1"/>
      <c r="AC304" s="1"/>
      <c r="AD304" s="1"/>
      <c r="AE304" s="1"/>
      <c r="AF304" s="1">
        <v>39563.25</v>
      </c>
      <c r="AG304" s="1"/>
      <c r="AH304" s="1"/>
      <c r="AI304" s="1"/>
      <c r="AJ304" s="1"/>
      <c r="AK304" s="1"/>
      <c r="AL304" s="1"/>
      <c r="AM304" s="1"/>
      <c r="AN304" s="1"/>
      <c r="AO304" s="1"/>
      <c r="AP304" s="1"/>
      <c r="AQ304" s="1"/>
      <c r="AR304" s="1">
        <v>39862.25</v>
      </c>
      <c r="AS304" s="1"/>
      <c r="AT304" s="1"/>
      <c r="AU304" s="1"/>
      <c r="AV304" s="1">
        <v>39861.25</v>
      </c>
      <c r="AW304" s="1"/>
      <c r="AX304" s="1"/>
      <c r="AY304" s="1"/>
      <c r="AZ304" s="1">
        <v>39862.25</v>
      </c>
      <c r="BA304" s="1"/>
      <c r="BB304" s="1"/>
      <c r="BC304" s="1"/>
      <c r="BD304" s="1"/>
      <c r="BE304" s="1"/>
      <c r="BF304" s="1"/>
      <c r="BG304" s="1"/>
      <c r="BH304" s="1"/>
      <c r="BI304" s="1"/>
      <c r="BJ304" s="1"/>
      <c r="BK304" s="1"/>
      <c r="BL304" s="1"/>
      <c r="BM304" s="1">
        <v>39863.25</v>
      </c>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row>
    <row r="305" spans="1:216" x14ac:dyDescent="0.3">
      <c r="A305" s="3" t="str">
        <f>HYPERLINK("https://hpr-rps.hres.ca/reg-content/summary-basis-decision-detailOne.php?lang=en&amp;linkID=SBD00312", "Xalkori TM")</f>
        <v>Xalkori TM</v>
      </c>
      <c r="B305" s="1" t="s">
        <v>819</v>
      </c>
      <c r="C305" s="1" t="s">
        <v>143</v>
      </c>
      <c r="D305" s="1" t="s">
        <v>820</v>
      </c>
      <c r="E305" s="1">
        <v>40585.25</v>
      </c>
      <c r="F305" s="1"/>
      <c r="G305" s="1">
        <v>40631.25</v>
      </c>
      <c r="H305" s="1">
        <v>40702.25</v>
      </c>
      <c r="I305" s="1"/>
      <c r="J305" s="1"/>
      <c r="K305" s="1"/>
      <c r="L305" s="1"/>
      <c r="M305" s="1"/>
      <c r="N305" s="1"/>
      <c r="O305" s="1"/>
      <c r="P305" s="1"/>
      <c r="Q305" s="1"/>
      <c r="R305" s="1"/>
      <c r="S305" s="1"/>
      <c r="T305" s="1"/>
      <c r="U305" s="1"/>
      <c r="V305" s="1"/>
      <c r="W305" s="1"/>
      <c r="X305" s="1"/>
      <c r="Y305" s="1"/>
      <c r="Z305" s="1">
        <v>40739.25</v>
      </c>
      <c r="AA305" s="1"/>
      <c r="AB305" s="1"/>
      <c r="AC305" s="1">
        <v>40766.25</v>
      </c>
      <c r="AD305" s="1"/>
      <c r="AE305" s="1"/>
      <c r="AF305" s="1">
        <v>40785.25</v>
      </c>
      <c r="AG305" s="1"/>
      <c r="AH305" s="1"/>
      <c r="AI305" s="1"/>
      <c r="AJ305" s="1"/>
      <c r="AK305" s="1"/>
      <c r="AL305" s="1"/>
      <c r="AM305" s="1"/>
      <c r="AN305" s="1"/>
      <c r="AO305" s="1"/>
      <c r="AP305" s="1"/>
      <c r="AQ305" s="1"/>
      <c r="AR305" s="1">
        <v>41023.25</v>
      </c>
      <c r="AS305" s="1">
        <v>40898.25</v>
      </c>
      <c r="AT305" s="1"/>
      <c r="AU305" s="1"/>
      <c r="AV305" s="1">
        <v>40980.208333333343</v>
      </c>
      <c r="AW305" s="1"/>
      <c r="AX305" s="1">
        <v>40959.25</v>
      </c>
      <c r="AY305" s="1"/>
      <c r="AZ305" s="1">
        <v>41023.25</v>
      </c>
      <c r="BA305" s="1"/>
      <c r="BB305" s="1"/>
      <c r="BC305" s="1"/>
      <c r="BD305" s="1"/>
      <c r="BE305" s="1"/>
      <c r="BF305" s="1"/>
      <c r="BG305" s="1"/>
      <c r="BH305" s="1"/>
      <c r="BI305" s="1"/>
      <c r="BJ305" s="1"/>
      <c r="BK305" s="1">
        <v>40983.208333333343</v>
      </c>
      <c r="BL305" s="1">
        <v>41024.25</v>
      </c>
      <c r="BM305" s="1"/>
      <c r="BN305" s="1"/>
      <c r="BO305" s="1"/>
      <c r="BP305" s="1"/>
      <c r="BQ305" s="1"/>
      <c r="BR305" s="1"/>
      <c r="BS305" s="1"/>
      <c r="BT305" s="1"/>
      <c r="BU305" s="1"/>
      <c r="BV305" s="1"/>
      <c r="BW305" s="1"/>
      <c r="BX305" s="1"/>
      <c r="BY305" s="1">
        <v>40991.208333333343</v>
      </c>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row>
    <row r="306" spans="1:216" x14ac:dyDescent="0.3">
      <c r="A306" s="3" t="str">
        <f>HYPERLINK("https://hpr-rps.hres.ca/reg-content/summary-basis-decision-detailOne.php?lang=en&amp;linkID=SBD00313", "Xarelto ®")</f>
        <v>Xarelto ®</v>
      </c>
      <c r="B306" s="1" t="s">
        <v>821</v>
      </c>
      <c r="C306" s="1" t="s">
        <v>338</v>
      </c>
      <c r="D306" s="1" t="s">
        <v>822</v>
      </c>
      <c r="E306" s="1">
        <v>39372.25</v>
      </c>
      <c r="F306" s="1"/>
      <c r="G306" s="1"/>
      <c r="H306" s="1">
        <v>39447.25</v>
      </c>
      <c r="I306" s="1"/>
      <c r="J306" s="1"/>
      <c r="K306" s="1"/>
      <c r="L306" s="1"/>
      <c r="M306" s="1"/>
      <c r="N306" s="1"/>
      <c r="O306" s="1"/>
      <c r="P306" s="1"/>
      <c r="Q306" s="1"/>
      <c r="R306" s="1"/>
      <c r="S306" s="1"/>
      <c r="T306" s="1"/>
      <c r="U306" s="1"/>
      <c r="V306" s="1"/>
      <c r="W306" s="1"/>
      <c r="X306" s="1"/>
      <c r="Y306" s="1"/>
      <c r="Z306" s="1"/>
      <c r="AA306" s="1"/>
      <c r="AB306" s="1"/>
      <c r="AC306" s="1"/>
      <c r="AD306" s="1"/>
      <c r="AE306" s="1"/>
      <c r="AF306" s="1">
        <v>39476.25</v>
      </c>
      <c r="AG306" s="1"/>
      <c r="AH306" s="1"/>
      <c r="AI306" s="1"/>
      <c r="AJ306" s="1"/>
      <c r="AK306" s="1"/>
      <c r="AL306" s="1"/>
      <c r="AM306" s="1"/>
      <c r="AN306" s="1"/>
      <c r="AO306" s="1"/>
      <c r="AP306" s="1"/>
      <c r="AQ306" s="1"/>
      <c r="AR306" s="1">
        <v>39701.25</v>
      </c>
      <c r="AS306" s="1"/>
      <c r="AT306" s="1"/>
      <c r="AU306" s="1"/>
      <c r="AV306" s="1">
        <v>39651.25</v>
      </c>
      <c r="AW306" s="1"/>
      <c r="AX306" s="1"/>
      <c r="AY306" s="1"/>
      <c r="AZ306" s="1">
        <v>39701.25</v>
      </c>
      <c r="BA306" s="1"/>
      <c r="BB306" s="1"/>
      <c r="BC306" s="1"/>
      <c r="BD306" s="1"/>
      <c r="BE306" s="1"/>
      <c r="BF306" s="1"/>
      <c r="BG306" s="1"/>
      <c r="BH306" s="1"/>
      <c r="BI306" s="1"/>
      <c r="BJ306" s="1"/>
      <c r="BK306" s="1"/>
      <c r="BL306" s="1"/>
      <c r="BM306" s="1">
        <v>39706.25</v>
      </c>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row>
    <row r="307" spans="1:216" x14ac:dyDescent="0.3">
      <c r="A307" s="3" t="str">
        <f>HYPERLINK("https://hpr-rps.hres.ca/reg-content/summary-basis-decision-detailTwo.php?lang=en&amp;linkID=SBD00314", "Xtoro")</f>
        <v>Xtoro</v>
      </c>
      <c r="B307" s="1" t="s">
        <v>823</v>
      </c>
      <c r="C307" s="1" t="s">
        <v>535</v>
      </c>
      <c r="D307" s="1" t="s">
        <v>824</v>
      </c>
      <c r="E307" s="1"/>
      <c r="F307" s="1"/>
      <c r="G307" s="1"/>
      <c r="H307" s="1">
        <v>41795.25</v>
      </c>
      <c r="I307" s="1"/>
      <c r="J307" s="1"/>
      <c r="K307" s="1"/>
      <c r="L307" s="1"/>
      <c r="M307" s="1"/>
      <c r="N307" s="1"/>
      <c r="O307" s="1"/>
      <c r="P307" s="1"/>
      <c r="Q307" s="1"/>
      <c r="R307" s="1"/>
      <c r="S307" s="1"/>
      <c r="T307" s="1"/>
      <c r="U307" s="1"/>
      <c r="V307" s="1"/>
      <c r="W307" s="1"/>
      <c r="X307" s="1"/>
      <c r="Y307" s="1"/>
      <c r="Z307" s="1"/>
      <c r="AA307" s="1"/>
      <c r="AB307" s="1"/>
      <c r="AC307" s="1"/>
      <c r="AD307" s="1"/>
      <c r="AE307" s="1"/>
      <c r="AF307" s="1">
        <v>41849.25</v>
      </c>
      <c r="AG307" s="1"/>
      <c r="AH307" s="1"/>
      <c r="AI307" s="1"/>
      <c r="AJ307" s="1"/>
      <c r="AK307" s="1"/>
      <c r="AL307" s="1"/>
      <c r="AM307" s="1"/>
      <c r="AN307" s="1"/>
      <c r="AO307" s="1"/>
      <c r="AP307" s="1"/>
      <c r="AQ307" s="1"/>
      <c r="AR307" s="1"/>
      <c r="AS307" s="1"/>
      <c r="AT307" s="1"/>
      <c r="AU307" s="1"/>
      <c r="AV307" s="1">
        <v>42167.25</v>
      </c>
      <c r="AW307" s="1"/>
      <c r="AX307" s="1"/>
      <c r="AY307" s="1"/>
      <c r="AZ307" s="1">
        <v>42132.25</v>
      </c>
      <c r="BA307" s="1"/>
      <c r="BB307" s="1"/>
      <c r="BC307" s="1"/>
      <c r="BD307" s="1"/>
      <c r="BE307" s="1"/>
      <c r="BF307" s="1"/>
      <c r="BG307" s="1"/>
      <c r="BH307" s="1"/>
      <c r="BI307" s="1"/>
      <c r="BJ307" s="1"/>
      <c r="BK307" s="1"/>
      <c r="BL307" s="1"/>
      <c r="BM307" s="1"/>
      <c r="BN307" s="1"/>
      <c r="BO307" s="1"/>
      <c r="BP307" s="1"/>
      <c r="BQ307" s="1"/>
      <c r="BR307" s="1"/>
      <c r="BS307" s="1"/>
      <c r="BT307" s="1">
        <v>42185.25</v>
      </c>
      <c r="BU307" s="1"/>
      <c r="BV307" s="1"/>
      <c r="BW307" s="1"/>
      <c r="BX307" s="1"/>
      <c r="BY307" s="1">
        <v>42272.25</v>
      </c>
      <c r="BZ307" s="1"/>
      <c r="CA307" s="1"/>
      <c r="CB307" s="1"/>
      <c r="CC307" s="1"/>
      <c r="CD307" s="1"/>
      <c r="CE307" s="1"/>
      <c r="CF307" s="1"/>
      <c r="CG307" s="1"/>
      <c r="CH307" s="1"/>
      <c r="CI307" s="1"/>
      <c r="CJ307" s="1"/>
      <c r="CK307" s="1"/>
      <c r="CL307" s="1"/>
      <c r="CM307" s="1"/>
      <c r="CN307" s="1"/>
      <c r="CO307" s="1"/>
      <c r="CP307" s="1"/>
      <c r="CQ307" s="1"/>
      <c r="CR307" s="1">
        <v>42292.25</v>
      </c>
      <c r="CS307" s="1"/>
      <c r="CT307" s="1"/>
      <c r="CU307" s="1"/>
      <c r="CV307" s="1"/>
      <c r="CW307" s="1"/>
      <c r="CX307" s="1"/>
      <c r="CY307" s="1"/>
      <c r="CZ307" s="1"/>
      <c r="DA307" s="1"/>
      <c r="DB307" s="1"/>
      <c r="DC307" s="1"/>
      <c r="DD307" s="1">
        <v>42437.25</v>
      </c>
      <c r="DE307" s="1"/>
      <c r="DF307" s="1"/>
      <c r="DG307" s="1"/>
      <c r="DH307" s="1">
        <v>42436.25</v>
      </c>
      <c r="DI307" s="1"/>
      <c r="DJ307" s="1"/>
      <c r="DK307" s="1"/>
      <c r="DL307" s="1">
        <v>42439.25</v>
      </c>
      <c r="DM307" s="1"/>
      <c r="DN307" s="1"/>
      <c r="DO307" s="1"/>
      <c r="DP307" s="1"/>
      <c r="DQ307" s="1"/>
      <c r="DR307" s="1"/>
      <c r="DS307" s="1"/>
      <c r="DT307" s="1"/>
      <c r="DU307" s="1"/>
      <c r="DV307" s="1"/>
      <c r="DW307" s="1"/>
      <c r="DX307" s="1"/>
      <c r="DY307" s="1">
        <v>42440.25</v>
      </c>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row>
    <row r="308" spans="1:216" x14ac:dyDescent="0.3">
      <c r="A308" s="3" t="str">
        <f>HYPERLINK("https://hpr-rps.hres.ca/reg-content/summary-basis-decision-detailOne.php?lang=en&amp;linkID=SBD00315", "Xyrem ®")</f>
        <v>Xyrem ®</v>
      </c>
      <c r="B308" s="1" t="s">
        <v>825</v>
      </c>
      <c r="C308" s="1" t="s">
        <v>826</v>
      </c>
      <c r="D308" s="1" t="s">
        <v>827</v>
      </c>
      <c r="E308" s="1">
        <v>37544.25</v>
      </c>
      <c r="F308" s="1"/>
      <c r="G308" s="1"/>
      <c r="H308" s="1">
        <v>37965.25</v>
      </c>
      <c r="I308" s="1"/>
      <c r="J308" s="1"/>
      <c r="K308" s="1"/>
      <c r="L308" s="1"/>
      <c r="M308" s="1"/>
      <c r="N308" s="1"/>
      <c r="O308" s="1"/>
      <c r="P308" s="1"/>
      <c r="Q308" s="1"/>
      <c r="R308" s="1"/>
      <c r="S308" s="1"/>
      <c r="T308" s="1"/>
      <c r="U308" s="1"/>
      <c r="V308" s="1"/>
      <c r="W308" s="1"/>
      <c r="X308" s="1"/>
      <c r="Y308" s="1"/>
      <c r="Z308" s="1"/>
      <c r="AA308" s="1"/>
      <c r="AB308" s="1"/>
      <c r="AC308" s="1"/>
      <c r="AD308" s="1"/>
      <c r="AE308" s="1"/>
      <c r="AF308" s="1">
        <v>37994.25</v>
      </c>
      <c r="AG308" s="1"/>
      <c r="AH308" s="1"/>
      <c r="AI308" s="1"/>
      <c r="AJ308" s="1"/>
      <c r="AK308" s="1"/>
      <c r="AL308" s="1"/>
      <c r="AM308" s="1"/>
      <c r="AN308" s="1"/>
      <c r="AO308" s="1"/>
      <c r="AP308" s="1"/>
      <c r="AQ308" s="1"/>
      <c r="AR308" s="1"/>
      <c r="AS308" s="1"/>
      <c r="AT308" s="1"/>
      <c r="AU308" s="1"/>
      <c r="AV308" s="1">
        <v>38289.25</v>
      </c>
      <c r="AW308" s="1"/>
      <c r="AX308" s="1"/>
      <c r="AY308" s="1"/>
      <c r="AZ308" s="1">
        <v>38442.291666666657</v>
      </c>
      <c r="BA308" s="1"/>
      <c r="BB308" s="1"/>
      <c r="BC308" s="1"/>
      <c r="BD308" s="1"/>
      <c r="BE308" s="1">
        <v>38491.25</v>
      </c>
      <c r="BF308" s="1"/>
      <c r="BG308" s="1"/>
      <c r="BH308" s="1"/>
      <c r="BI308" s="1"/>
      <c r="BJ308" s="1"/>
      <c r="BK308" s="1"/>
      <c r="BL308" s="1"/>
      <c r="BM308" s="1">
        <v>38569.25</v>
      </c>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row>
    <row r="309" spans="1:216" x14ac:dyDescent="0.3">
      <c r="A309" s="3" t="str">
        <f>HYPERLINK("https://hpr-rps.hres.ca/reg-content/summary-basis-decision-detailOne.php?lang=en&amp;linkID=SBD00316", "Yervoy TM")</f>
        <v>Yervoy TM</v>
      </c>
      <c r="B309" s="1" t="s">
        <v>828</v>
      </c>
      <c r="C309" s="1" t="s">
        <v>81</v>
      </c>
      <c r="D309" s="1" t="s">
        <v>829</v>
      </c>
      <c r="E309" s="1">
        <v>39967.25</v>
      </c>
      <c r="F309" s="1"/>
      <c r="G309" s="1"/>
      <c r="H309" s="1"/>
      <c r="I309" s="1"/>
      <c r="J309" s="1"/>
      <c r="K309" s="1"/>
      <c r="L309" s="1"/>
      <c r="M309" s="1"/>
      <c r="N309" s="1">
        <v>40372.25</v>
      </c>
      <c r="O309" s="1"/>
      <c r="P309" s="1"/>
      <c r="Q309" s="1"/>
      <c r="R309" s="1"/>
      <c r="S309" s="1"/>
      <c r="T309" s="1">
        <v>40399.25</v>
      </c>
      <c r="U309" s="1"/>
      <c r="V309" s="1">
        <v>40464.25</v>
      </c>
      <c r="W309" s="1"/>
      <c r="X309" s="1"/>
      <c r="Y309" s="1"/>
      <c r="Z309" s="1"/>
      <c r="AA309" s="1"/>
      <c r="AB309" s="1"/>
      <c r="AC309" s="1"/>
      <c r="AD309" s="1"/>
      <c r="AE309" s="1"/>
      <c r="AF309" s="1">
        <v>40522.25</v>
      </c>
      <c r="AG309" s="1"/>
      <c r="AH309" s="1"/>
      <c r="AI309" s="1"/>
      <c r="AJ309" s="1"/>
      <c r="AK309" s="1"/>
      <c r="AL309" s="1"/>
      <c r="AM309" s="1"/>
      <c r="AN309" s="1"/>
      <c r="AO309" s="1"/>
      <c r="AP309" s="1"/>
      <c r="AQ309" s="1"/>
      <c r="AR309" s="1">
        <v>40821.25</v>
      </c>
      <c r="AS309" s="1"/>
      <c r="AT309" s="1"/>
      <c r="AU309" s="1"/>
      <c r="AV309" s="1">
        <v>40822.25</v>
      </c>
      <c r="AW309" s="1"/>
      <c r="AX309" s="1"/>
      <c r="AY309" s="1"/>
      <c r="AZ309" s="1">
        <v>40822.25</v>
      </c>
      <c r="BA309" s="1"/>
      <c r="BB309" s="1"/>
      <c r="BC309" s="1"/>
      <c r="BD309" s="1"/>
      <c r="BE309" s="1"/>
      <c r="BF309" s="1"/>
      <c r="BG309" s="1"/>
      <c r="BH309" s="1"/>
      <c r="BI309" s="1"/>
      <c r="BJ309" s="1"/>
      <c r="BK309" s="1"/>
      <c r="BL309" s="1"/>
      <c r="BM309" s="1"/>
      <c r="BN309" s="1"/>
      <c r="BO309" s="1"/>
      <c r="BP309" s="1"/>
      <c r="BQ309" s="1"/>
      <c r="BR309" s="1"/>
      <c r="BS309" s="1"/>
      <c r="BT309" s="1">
        <v>40822.25</v>
      </c>
      <c r="BU309" s="1"/>
      <c r="BV309" s="1"/>
      <c r="BW309" s="1"/>
      <c r="BX309" s="1"/>
      <c r="BY309" s="1">
        <v>40850.208333333343</v>
      </c>
      <c r="BZ309" s="1"/>
      <c r="CA309" s="1"/>
      <c r="CB309" s="1"/>
      <c r="CC309" s="1"/>
      <c r="CD309" s="1"/>
      <c r="CE309" s="1"/>
      <c r="CF309" s="1"/>
      <c r="CG309" s="1"/>
      <c r="CH309" s="1"/>
      <c r="CI309" s="1"/>
      <c r="CJ309" s="1"/>
      <c r="CK309" s="1"/>
      <c r="CL309" s="1"/>
      <c r="CM309" s="1"/>
      <c r="CN309" s="1"/>
      <c r="CO309" s="1"/>
      <c r="CP309" s="1"/>
      <c r="CQ309" s="1"/>
      <c r="CR309" s="1">
        <v>40872.25</v>
      </c>
      <c r="CS309" s="1"/>
      <c r="CT309" s="1"/>
      <c r="CU309" s="1"/>
      <c r="CV309" s="1"/>
      <c r="CW309" s="1"/>
      <c r="CX309" s="1"/>
      <c r="CY309" s="1"/>
      <c r="CZ309" s="1"/>
      <c r="DA309" s="1"/>
      <c r="DB309" s="1"/>
      <c r="DC309" s="1"/>
      <c r="DD309" s="1"/>
      <c r="DE309" s="1"/>
      <c r="DF309" s="1"/>
      <c r="DG309" s="1"/>
      <c r="DH309" s="1">
        <v>40938.25</v>
      </c>
      <c r="DI309" s="1"/>
      <c r="DJ309" s="1"/>
      <c r="DK309" s="1"/>
      <c r="DL309" s="1">
        <v>40939.25</v>
      </c>
      <c r="DM309" s="1"/>
      <c r="DN309" s="1"/>
      <c r="DO309" s="1"/>
      <c r="DP309" s="1"/>
      <c r="DQ309" s="1"/>
      <c r="DR309" s="1"/>
      <c r="DS309" s="1"/>
      <c r="DT309" s="1"/>
      <c r="DU309" s="1"/>
      <c r="DV309" s="1"/>
      <c r="DW309" s="1"/>
      <c r="DX309" s="1"/>
      <c r="DY309" s="1">
        <v>40940.25</v>
      </c>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row>
    <row r="310" spans="1:216" x14ac:dyDescent="0.3">
      <c r="A310" s="3" t="str">
        <f>HYPERLINK("https://hpr-rps.hres.ca/reg-content/summary-basis-decision-detailOne.php?lang=en&amp;linkID=SBD00317", "Yondelis TM")</f>
        <v>Yondelis TM</v>
      </c>
      <c r="B310" s="1" t="s">
        <v>830</v>
      </c>
      <c r="C310" s="1" t="s">
        <v>196</v>
      </c>
      <c r="D310" s="1" t="s">
        <v>831</v>
      </c>
      <c r="E310" s="1">
        <v>39906.25</v>
      </c>
      <c r="F310" s="1"/>
      <c r="G310" s="1"/>
      <c r="H310" s="1">
        <v>39965.25</v>
      </c>
      <c r="I310" s="1"/>
      <c r="J310" s="1"/>
      <c r="K310" s="1"/>
      <c r="L310" s="1"/>
      <c r="M310" s="1"/>
      <c r="N310" s="1"/>
      <c r="O310" s="1"/>
      <c r="P310" s="1"/>
      <c r="Q310" s="1"/>
      <c r="R310" s="1"/>
      <c r="S310" s="1"/>
      <c r="T310" s="1"/>
      <c r="U310" s="1"/>
      <c r="V310" s="1"/>
      <c r="W310" s="1"/>
      <c r="X310" s="1"/>
      <c r="Y310" s="1"/>
      <c r="Z310" s="1"/>
      <c r="AA310" s="1"/>
      <c r="AB310" s="1"/>
      <c r="AC310" s="1"/>
      <c r="AD310" s="1"/>
      <c r="AE310" s="1"/>
      <c r="AF310" s="1">
        <v>40011.25</v>
      </c>
      <c r="AG310" s="1"/>
      <c r="AH310" s="1"/>
      <c r="AI310" s="1"/>
      <c r="AJ310" s="1"/>
      <c r="AK310" s="1"/>
      <c r="AL310" s="1"/>
      <c r="AM310" s="1"/>
      <c r="AN310" s="1"/>
      <c r="AO310" s="1"/>
      <c r="AP310" s="1"/>
      <c r="AQ310" s="1"/>
      <c r="AR310" s="1">
        <v>40311.25</v>
      </c>
      <c r="AS310" s="1"/>
      <c r="AT310" s="1"/>
      <c r="AU310" s="1"/>
      <c r="AV310" s="1">
        <v>40311.25</v>
      </c>
      <c r="AW310" s="1"/>
      <c r="AX310" s="1"/>
      <c r="AY310" s="1"/>
      <c r="AZ310" s="1">
        <v>40311.25</v>
      </c>
      <c r="BA310" s="1"/>
      <c r="BB310" s="1"/>
      <c r="BC310" s="1"/>
      <c r="BD310" s="1"/>
      <c r="BE310" s="1"/>
      <c r="BF310" s="1"/>
      <c r="BG310" s="1"/>
      <c r="BH310" s="1"/>
      <c r="BI310" s="1"/>
      <c r="BJ310" s="1"/>
      <c r="BK310" s="1"/>
      <c r="BL310" s="1"/>
      <c r="BM310" s="1">
        <v>40311.25</v>
      </c>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row>
    <row r="311" spans="1:216" x14ac:dyDescent="0.3">
      <c r="A311" s="3" t="str">
        <f>HYPERLINK("https://hpr-rps.hres.ca/reg-content/summary-basis-decision-detailTwo.php?lang=en&amp;linkID=SBD00318", "Zepatier")</f>
        <v>Zepatier</v>
      </c>
      <c r="B311" s="1" t="s">
        <v>832</v>
      </c>
      <c r="C311" s="1" t="s">
        <v>833</v>
      </c>
      <c r="D311" s="1" t="s">
        <v>834</v>
      </c>
      <c r="E311" s="1">
        <v>41837.25</v>
      </c>
      <c r="F311" s="1"/>
      <c r="G311" s="1"/>
      <c r="H311" s="1"/>
      <c r="I311" s="1"/>
      <c r="J311" s="1"/>
      <c r="K311" s="1"/>
      <c r="L311" s="1"/>
      <c r="M311" s="1"/>
      <c r="N311" s="1">
        <v>42144.25</v>
      </c>
      <c r="O311" s="1"/>
      <c r="P311" s="1"/>
      <c r="Q311" s="1"/>
      <c r="R311" s="1"/>
      <c r="S311" s="1">
        <v>42177.25</v>
      </c>
      <c r="T311" s="1"/>
      <c r="U311" s="1"/>
      <c r="V311" s="1">
        <v>42185.25</v>
      </c>
      <c r="W311" s="1"/>
      <c r="X311" s="1"/>
      <c r="Y311" s="1"/>
      <c r="Z311" s="1"/>
      <c r="AA311" s="1"/>
      <c r="AB311" s="1"/>
      <c r="AC311" s="1"/>
      <c r="AD311" s="1"/>
      <c r="AE311" s="1"/>
      <c r="AF311" s="1">
        <v>42208.25</v>
      </c>
      <c r="AG311" s="1"/>
      <c r="AH311" s="1"/>
      <c r="AI311" s="1"/>
      <c r="AJ311" s="1"/>
      <c r="AK311" s="1"/>
      <c r="AL311" s="1"/>
      <c r="AM311" s="1"/>
      <c r="AN311" s="1"/>
      <c r="AO311" s="1"/>
      <c r="AP311" s="1"/>
      <c r="AQ311" s="1"/>
      <c r="AR311" s="1">
        <v>42387.25</v>
      </c>
      <c r="AS311" s="1"/>
      <c r="AT311" s="1"/>
      <c r="AU311" s="1"/>
      <c r="AV311" s="1">
        <v>42385.25</v>
      </c>
      <c r="AW311" s="1"/>
      <c r="AX311" s="1"/>
      <c r="AY311" s="1"/>
      <c r="AZ311" s="1">
        <v>42388.25</v>
      </c>
      <c r="BA311" s="1"/>
      <c r="BB311" s="1"/>
      <c r="BC311" s="1"/>
      <c r="BD311" s="1"/>
      <c r="BE311" s="1"/>
      <c r="BF311" s="1"/>
      <c r="BG311" s="1"/>
      <c r="BH311" s="1"/>
      <c r="BI311" s="1"/>
      <c r="BJ311" s="1"/>
      <c r="BK311" s="1"/>
      <c r="BL311" s="1"/>
      <c r="BM311" s="1">
        <v>42388.25</v>
      </c>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row>
    <row r="312" spans="1:216" x14ac:dyDescent="0.3">
      <c r="A312" s="3" t="str">
        <f>HYPERLINK("https://hpr-rps.hres.ca/reg-content/summary-basis-decision-detailTwo.php?lang=en&amp;linkID=SBD00319", "Zontivity")</f>
        <v>Zontivity</v>
      </c>
      <c r="B312" s="1" t="s">
        <v>835</v>
      </c>
      <c r="C312" s="1" t="s">
        <v>415</v>
      </c>
      <c r="D312" s="1" t="s">
        <v>836</v>
      </c>
      <c r="E312" s="1">
        <v>41513.25</v>
      </c>
      <c r="F312" s="1"/>
      <c r="G312" s="1"/>
      <c r="H312" s="1">
        <v>41943.208333333343</v>
      </c>
      <c r="I312" s="1"/>
      <c r="J312" s="1"/>
      <c r="K312" s="1"/>
      <c r="L312" s="1"/>
      <c r="M312" s="1"/>
      <c r="N312" s="1"/>
      <c r="O312" s="1"/>
      <c r="P312" s="1"/>
      <c r="Q312" s="1"/>
      <c r="R312" s="1"/>
      <c r="S312" s="1"/>
      <c r="T312" s="1"/>
      <c r="U312" s="1"/>
      <c r="V312" s="1"/>
      <c r="W312" s="1"/>
      <c r="X312" s="1"/>
      <c r="Y312" s="1"/>
      <c r="Z312" s="1"/>
      <c r="AA312" s="1"/>
      <c r="AB312" s="1"/>
      <c r="AC312" s="1"/>
      <c r="AD312" s="1"/>
      <c r="AE312" s="1"/>
      <c r="AF312" s="1">
        <v>41982.25</v>
      </c>
      <c r="AG312" s="1"/>
      <c r="AH312" s="1"/>
      <c r="AI312" s="1"/>
      <c r="AJ312" s="1"/>
      <c r="AK312" s="1"/>
      <c r="AL312" s="1"/>
      <c r="AM312" s="1"/>
      <c r="AN312" s="1"/>
      <c r="AO312" s="1"/>
      <c r="AP312" s="1"/>
      <c r="AQ312" s="1"/>
      <c r="AR312" s="1"/>
      <c r="AS312" s="1">
        <v>42222.25</v>
      </c>
      <c r="AT312" s="1"/>
      <c r="AU312" s="1"/>
      <c r="AV312" s="1">
        <v>42278.25</v>
      </c>
      <c r="AW312" s="1"/>
      <c r="AX312" s="1"/>
      <c r="AY312" s="1"/>
      <c r="AZ312" s="1">
        <v>42282.25</v>
      </c>
      <c r="BA312" s="1"/>
      <c r="BB312" s="1"/>
      <c r="BC312" s="1"/>
      <c r="BD312" s="1"/>
      <c r="BE312" s="1"/>
      <c r="BF312" s="1"/>
      <c r="BG312" s="1"/>
      <c r="BH312" s="1"/>
      <c r="BI312" s="1"/>
      <c r="BJ312" s="1"/>
      <c r="BK312" s="1"/>
      <c r="BL312" s="1"/>
      <c r="BM312" s="1"/>
      <c r="BN312" s="1"/>
      <c r="BO312" s="1"/>
      <c r="BP312" s="1"/>
      <c r="BQ312" s="1"/>
      <c r="BR312" s="1"/>
      <c r="BS312" s="1"/>
      <c r="BT312" s="1">
        <v>42283.25</v>
      </c>
      <c r="BU312" s="1"/>
      <c r="BV312" s="1"/>
      <c r="BW312" s="1"/>
      <c r="BX312" s="1"/>
      <c r="BY312" s="1">
        <v>42331.25</v>
      </c>
      <c r="BZ312" s="1"/>
      <c r="CA312" s="1"/>
      <c r="CB312" s="1"/>
      <c r="CC312" s="1"/>
      <c r="CD312" s="1"/>
      <c r="CE312" s="1"/>
      <c r="CF312" s="1"/>
      <c r="CG312" s="1"/>
      <c r="CH312" s="1"/>
      <c r="CI312" s="1"/>
      <c r="CJ312" s="1"/>
      <c r="CK312" s="1"/>
      <c r="CL312" s="1"/>
      <c r="CM312" s="1"/>
      <c r="CN312" s="1"/>
      <c r="CO312" s="1"/>
      <c r="CP312" s="1"/>
      <c r="CQ312" s="1"/>
      <c r="CR312" s="1">
        <v>42353.25</v>
      </c>
      <c r="CS312" s="1"/>
      <c r="CT312" s="1"/>
      <c r="CU312" s="1"/>
      <c r="CV312" s="1"/>
      <c r="CW312" s="1"/>
      <c r="CX312" s="1"/>
      <c r="CY312" s="1"/>
      <c r="CZ312" s="1"/>
      <c r="DA312" s="1"/>
      <c r="DB312" s="1"/>
      <c r="DC312" s="1"/>
      <c r="DD312" s="1">
        <v>42494.25</v>
      </c>
      <c r="DE312" s="1"/>
      <c r="DF312" s="1"/>
      <c r="DG312" s="1"/>
      <c r="DH312" s="1">
        <v>42487.25</v>
      </c>
      <c r="DI312" s="1"/>
      <c r="DJ312" s="1"/>
      <c r="DK312" s="1"/>
      <c r="DL312" s="1">
        <v>42500.25</v>
      </c>
      <c r="DM312" s="1"/>
      <c r="DN312" s="1"/>
      <c r="DO312" s="1"/>
      <c r="DP312" s="1"/>
      <c r="DQ312" s="1"/>
      <c r="DR312" s="1"/>
      <c r="DS312" s="1"/>
      <c r="DT312" s="1"/>
      <c r="DU312" s="1"/>
      <c r="DV312" s="1"/>
      <c r="DW312" s="1"/>
      <c r="DX312" s="1"/>
      <c r="DY312" s="1">
        <v>42503.25</v>
      </c>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row>
    <row r="313" spans="1:216" x14ac:dyDescent="0.3">
      <c r="A313" s="3" t="str">
        <f>HYPERLINK("https://hpr-rps.hres.ca/reg-content/summary-basis-decision-detailTwo.php?lang=en&amp;linkID=SBD00321", "Darzalex")</f>
        <v>Darzalex</v>
      </c>
      <c r="B313" s="1" t="s">
        <v>837</v>
      </c>
      <c r="C313" s="1" t="s">
        <v>201</v>
      </c>
      <c r="D313" s="1" t="s">
        <v>838</v>
      </c>
      <c r="E313" s="1">
        <v>42179.25</v>
      </c>
      <c r="F313" s="1"/>
      <c r="G313" s="1"/>
      <c r="H313" s="1">
        <v>42261.25</v>
      </c>
      <c r="I313" s="1"/>
      <c r="J313" s="1"/>
      <c r="K313" s="1"/>
      <c r="L313" s="1"/>
      <c r="M313" s="1"/>
      <c r="N313" s="1"/>
      <c r="O313" s="1"/>
      <c r="P313" s="1"/>
      <c r="Q313" s="1"/>
      <c r="R313" s="1"/>
      <c r="S313" s="1"/>
      <c r="T313" s="1"/>
      <c r="U313" s="1"/>
      <c r="V313" s="1"/>
      <c r="W313" s="1"/>
      <c r="X313" s="1"/>
      <c r="Y313" s="1"/>
      <c r="Z313" s="1">
        <v>42293.25</v>
      </c>
      <c r="AA313" s="1"/>
      <c r="AB313" s="1"/>
      <c r="AC313" s="1">
        <v>42310.25</v>
      </c>
      <c r="AD313" s="1"/>
      <c r="AE313" s="1"/>
      <c r="AF313" s="1">
        <v>42318.25</v>
      </c>
      <c r="AG313" s="1"/>
      <c r="AH313" s="1"/>
      <c r="AI313" s="1"/>
      <c r="AJ313" s="1"/>
      <c r="AK313" s="1"/>
      <c r="AL313" s="1"/>
      <c r="AM313" s="1"/>
      <c r="AN313" s="1"/>
      <c r="AO313" s="1"/>
      <c r="AP313" s="1"/>
      <c r="AQ313" s="1"/>
      <c r="AR313" s="1">
        <v>42530.25</v>
      </c>
      <c r="AS313" s="1"/>
      <c r="AT313" s="1"/>
      <c r="AU313" s="1"/>
      <c r="AV313" s="1">
        <v>42506.25</v>
      </c>
      <c r="AW313" s="1"/>
      <c r="AX313" s="1">
        <v>42530.25</v>
      </c>
      <c r="AY313" s="1"/>
      <c r="AZ313" s="1">
        <v>42530.25</v>
      </c>
      <c r="BA313" s="1"/>
      <c r="BB313" s="1"/>
      <c r="BC313" s="1"/>
      <c r="BD313" s="1"/>
      <c r="BE313" s="1"/>
      <c r="BF313" s="1"/>
      <c r="BG313" s="1"/>
      <c r="BH313" s="1"/>
      <c r="BI313" s="1"/>
      <c r="BJ313" s="1"/>
      <c r="BK313" s="1"/>
      <c r="BL313" s="1">
        <v>42517.25</v>
      </c>
      <c r="BM313" s="1">
        <v>42550.25</v>
      </c>
      <c r="BN313" s="1"/>
      <c r="BO313" s="1"/>
      <c r="BP313" s="1"/>
      <c r="BQ313" s="1"/>
      <c r="BR313" s="1"/>
      <c r="BS313" s="1"/>
      <c r="BT313" s="1"/>
      <c r="BU313" s="1"/>
      <c r="BV313" s="1"/>
      <c r="BW313" s="1"/>
      <c r="BX313" s="1"/>
      <c r="BY313" s="1">
        <v>42522.25</v>
      </c>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row>
    <row r="314" spans="1:216" x14ac:dyDescent="0.3">
      <c r="A314" s="3" t="str">
        <f>HYPERLINK("https://hpr-rps.hres.ca/reg-content/summary-basis-decision-detailTwo.php?lang=en&amp;linkID=SBD00322", "Praxbind")</f>
        <v>Praxbind</v>
      </c>
      <c r="B314" s="1" t="s">
        <v>839</v>
      </c>
      <c r="C314" s="1" t="s">
        <v>840</v>
      </c>
      <c r="D314" s="1" t="s">
        <v>841</v>
      </c>
      <c r="E314" s="1">
        <v>42018.25</v>
      </c>
      <c r="F314" s="1"/>
      <c r="G314" s="1"/>
      <c r="H314" s="1"/>
      <c r="I314" s="1"/>
      <c r="J314" s="1"/>
      <c r="K314" s="1"/>
      <c r="L314" s="1"/>
      <c r="M314" s="1"/>
      <c r="N314" s="1">
        <v>42054.25</v>
      </c>
      <c r="O314" s="1">
        <v>42061.25</v>
      </c>
      <c r="P314" s="1"/>
      <c r="Q314" s="1"/>
      <c r="R314" s="1"/>
      <c r="S314" s="1"/>
      <c r="T314" s="1"/>
      <c r="U314" s="1"/>
      <c r="V314" s="1">
        <v>42067.25</v>
      </c>
      <c r="W314" s="1"/>
      <c r="X314" s="1"/>
      <c r="Y314" s="1"/>
      <c r="Z314" s="1">
        <v>42093.25</v>
      </c>
      <c r="AA314" s="1"/>
      <c r="AB314" s="1"/>
      <c r="AC314" s="1">
        <v>42116.25</v>
      </c>
      <c r="AD314" s="1"/>
      <c r="AE314" s="1"/>
      <c r="AF314" s="1">
        <v>42143.25</v>
      </c>
      <c r="AG314" s="1"/>
      <c r="AH314" s="1"/>
      <c r="AI314" s="1"/>
      <c r="AJ314" s="1"/>
      <c r="AK314" s="1"/>
      <c r="AL314" s="1"/>
      <c r="AM314" s="1"/>
      <c r="AN314" s="1"/>
      <c r="AO314" s="1"/>
      <c r="AP314" s="1"/>
      <c r="AQ314" s="1"/>
      <c r="AR314" s="1"/>
      <c r="AS314" s="1"/>
      <c r="AT314" s="1"/>
      <c r="AU314" s="1"/>
      <c r="AV314" s="1">
        <v>42143.25</v>
      </c>
      <c r="AW314" s="1"/>
      <c r="AX314" s="1"/>
      <c r="AY314" s="1"/>
      <c r="AZ314" s="1">
        <v>42143.25</v>
      </c>
      <c r="BA314" s="1"/>
      <c r="BB314" s="1"/>
      <c r="BC314" s="1"/>
      <c r="BD314" s="1"/>
      <c r="BE314" s="1"/>
      <c r="BF314" s="1"/>
      <c r="BG314" s="1"/>
      <c r="BH314" s="1"/>
      <c r="BI314" s="1"/>
      <c r="BJ314" s="1"/>
      <c r="BK314" s="1"/>
      <c r="BL314" s="1"/>
      <c r="BM314" s="1"/>
      <c r="BN314" s="1"/>
      <c r="BO314" s="1"/>
      <c r="BP314" s="1">
        <v>42230.25</v>
      </c>
      <c r="BQ314" s="1"/>
      <c r="BR314" s="1"/>
      <c r="BS314" s="1"/>
      <c r="BT314" s="1"/>
      <c r="BU314" s="1"/>
      <c r="BV314" s="1"/>
      <c r="BW314" s="1"/>
      <c r="BX314" s="1"/>
      <c r="BY314" s="1">
        <v>42244.25</v>
      </c>
      <c r="BZ314" s="1"/>
      <c r="CA314" s="1"/>
      <c r="CB314" s="1"/>
      <c r="CC314" s="1"/>
      <c r="CD314" s="1"/>
      <c r="CE314" s="1"/>
      <c r="CF314" s="1"/>
      <c r="CG314" s="1"/>
      <c r="CH314" s="1"/>
      <c r="CI314" s="1"/>
      <c r="CJ314" s="1"/>
      <c r="CK314" s="1"/>
      <c r="CL314" s="1"/>
      <c r="CM314" s="1"/>
      <c r="CN314" s="1"/>
      <c r="CO314" s="1"/>
      <c r="CP314" s="1"/>
      <c r="CQ314" s="1"/>
      <c r="CR314" s="1">
        <v>42255.25</v>
      </c>
      <c r="CS314" s="1"/>
      <c r="CT314" s="1"/>
      <c r="CU314" s="1"/>
      <c r="CV314" s="1"/>
      <c r="CW314" s="1"/>
      <c r="CX314" s="1"/>
      <c r="CY314" s="1"/>
      <c r="CZ314" s="1"/>
      <c r="DA314" s="1"/>
      <c r="DB314" s="1"/>
      <c r="DC314" s="1"/>
      <c r="DD314" s="1">
        <v>42387.25</v>
      </c>
      <c r="DE314" s="1"/>
      <c r="DF314" s="1"/>
      <c r="DG314" s="1"/>
      <c r="DH314" s="1">
        <v>42452.208333333343</v>
      </c>
      <c r="DI314" s="1"/>
      <c r="DJ314" s="1"/>
      <c r="DK314" s="1"/>
      <c r="DL314" s="1">
        <v>42487.25</v>
      </c>
      <c r="DM314" s="1"/>
      <c r="DN314" s="1"/>
      <c r="DO314" s="1"/>
      <c r="DP314" s="1"/>
      <c r="DQ314" s="1"/>
      <c r="DR314" s="1"/>
      <c r="DS314" s="1"/>
      <c r="DT314" s="1"/>
      <c r="DU314" s="1"/>
      <c r="DV314" s="1"/>
      <c r="DW314" s="1"/>
      <c r="DX314" s="1">
        <v>42453.208333333343</v>
      </c>
      <c r="DY314" s="1">
        <v>42489.25</v>
      </c>
      <c r="DZ314" s="1"/>
      <c r="EA314" s="1"/>
      <c r="EB314" s="1"/>
      <c r="EC314" s="1"/>
      <c r="ED314" s="1"/>
      <c r="EE314" s="1"/>
      <c r="EF314" s="1"/>
      <c r="EG314" s="1"/>
      <c r="EH314" s="1"/>
      <c r="EI314" s="1"/>
      <c r="EJ314" s="1"/>
      <c r="EK314" s="1">
        <v>42457.25</v>
      </c>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row>
    <row r="315" spans="1:216" x14ac:dyDescent="0.3">
      <c r="A315" s="3" t="str">
        <f>HYPERLINK("https://hpr-rps.hres.ca/reg-content/summary-basis-decision-detailTwo.php?lang=en&amp;linkID=SBD00323", "Empliciti")</f>
        <v>Empliciti</v>
      </c>
      <c r="B315" s="1" t="s">
        <v>842</v>
      </c>
      <c r="C315" s="1" t="s">
        <v>81</v>
      </c>
      <c r="D315" s="1" t="s">
        <v>843</v>
      </c>
      <c r="E315" s="1">
        <v>42172.25</v>
      </c>
      <c r="F315" s="1"/>
      <c r="G315" s="1"/>
      <c r="H315" s="1"/>
      <c r="I315" s="1"/>
      <c r="J315" s="1"/>
      <c r="K315" s="1"/>
      <c r="L315" s="1"/>
      <c r="M315" s="1"/>
      <c r="N315" s="1">
        <v>42213.25</v>
      </c>
      <c r="O315" s="1"/>
      <c r="P315" s="1"/>
      <c r="Q315" s="1"/>
      <c r="R315" s="1"/>
      <c r="S315" s="1">
        <v>42233.25</v>
      </c>
      <c r="T315" s="1"/>
      <c r="U315" s="1"/>
      <c r="V315" s="1">
        <v>42278.25</v>
      </c>
      <c r="W315" s="1"/>
      <c r="X315" s="1"/>
      <c r="Y315" s="1"/>
      <c r="Z315" s="1">
        <v>42307.208333333343</v>
      </c>
      <c r="AA315" s="1"/>
      <c r="AB315" s="1"/>
      <c r="AC315" s="1">
        <v>42349.25</v>
      </c>
      <c r="AD315" s="1"/>
      <c r="AE315" s="1"/>
      <c r="AF315" s="1">
        <v>42362.25</v>
      </c>
      <c r="AG315" s="1"/>
      <c r="AH315" s="1"/>
      <c r="AI315" s="1"/>
      <c r="AJ315" s="1"/>
      <c r="AK315" s="1"/>
      <c r="AL315" s="1"/>
      <c r="AM315" s="1"/>
      <c r="AN315" s="1"/>
      <c r="AO315" s="1">
        <v>42537.25</v>
      </c>
      <c r="AP315" s="1"/>
      <c r="AQ315" s="1"/>
      <c r="AR315" s="1">
        <v>42431.25</v>
      </c>
      <c r="AS315" s="1"/>
      <c r="AT315" s="1"/>
      <c r="AU315" s="1"/>
      <c r="AV315" s="1">
        <v>42542.25</v>
      </c>
      <c r="AW315" s="1"/>
      <c r="AX315" s="1"/>
      <c r="AY315" s="1"/>
      <c r="AZ315" s="1">
        <v>42542.25</v>
      </c>
      <c r="BA315" s="1"/>
      <c r="BB315" s="1"/>
      <c r="BC315" s="1"/>
      <c r="BD315" s="1"/>
      <c r="BE315" s="1"/>
      <c r="BF315" s="1"/>
      <c r="BG315" s="1"/>
      <c r="BH315" s="1"/>
      <c r="BI315" s="1"/>
      <c r="BJ315" s="1"/>
      <c r="BK315" s="1"/>
      <c r="BL315" s="1"/>
      <c r="BM315" s="1">
        <v>42542.25</v>
      </c>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row>
    <row r="316" spans="1:216" x14ac:dyDescent="0.3">
      <c r="A316" s="3" t="str">
        <f>HYPERLINK("https://hpr-rps.hres.ca/reg-content/summary-basis-decision-detailTwo.php?lang=en&amp;linkID=SBD00324", "Bepreve")</f>
        <v>Bepreve</v>
      </c>
      <c r="B316" s="1" t="s">
        <v>844</v>
      </c>
      <c r="C316" s="1" t="s">
        <v>845</v>
      </c>
      <c r="D316" s="1" t="s">
        <v>846</v>
      </c>
      <c r="E316" s="1"/>
      <c r="F316" s="1"/>
      <c r="G316" s="1"/>
      <c r="H316" s="1">
        <v>42235.25</v>
      </c>
      <c r="I316" s="1"/>
      <c r="J316" s="1"/>
      <c r="K316" s="1"/>
      <c r="L316" s="1"/>
      <c r="M316" s="1"/>
      <c r="N316" s="1"/>
      <c r="O316" s="1"/>
      <c r="P316" s="1"/>
      <c r="Q316" s="1"/>
      <c r="R316" s="1"/>
      <c r="S316" s="1"/>
      <c r="T316" s="1"/>
      <c r="U316" s="1"/>
      <c r="V316" s="1"/>
      <c r="W316" s="1"/>
      <c r="X316" s="1"/>
      <c r="Y316" s="1"/>
      <c r="Z316" s="1"/>
      <c r="AA316" s="1"/>
      <c r="AB316" s="1"/>
      <c r="AC316" s="1"/>
      <c r="AD316" s="1"/>
      <c r="AE316" s="1"/>
      <c r="AF316" s="1">
        <v>42284.25</v>
      </c>
      <c r="AG316" s="1"/>
      <c r="AH316" s="1"/>
      <c r="AI316" s="1"/>
      <c r="AJ316" s="1"/>
      <c r="AK316" s="1"/>
      <c r="AL316" s="1"/>
      <c r="AM316" s="1"/>
      <c r="AN316" s="1"/>
      <c r="AO316" s="1"/>
      <c r="AP316" s="1"/>
      <c r="AQ316" s="1"/>
      <c r="AR316" s="1">
        <v>42573.25</v>
      </c>
      <c r="AS316" s="1"/>
      <c r="AT316" s="1"/>
      <c r="AU316" s="1"/>
      <c r="AV316" s="1">
        <v>42573.25</v>
      </c>
      <c r="AW316" s="1"/>
      <c r="AX316" s="1"/>
      <c r="AY316" s="1"/>
      <c r="AZ316" s="1">
        <v>42576.25</v>
      </c>
      <c r="BA316" s="1"/>
      <c r="BB316" s="1"/>
      <c r="BC316" s="1"/>
      <c r="BD316" s="1"/>
      <c r="BE316" s="1"/>
      <c r="BF316" s="1"/>
      <c r="BG316" s="1"/>
      <c r="BH316" s="1"/>
      <c r="BI316" s="1"/>
      <c r="BJ316" s="1"/>
      <c r="BK316" s="1"/>
      <c r="BL316" s="1"/>
      <c r="BM316" s="1">
        <v>42578.25</v>
      </c>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row>
    <row r="317" spans="1:216" x14ac:dyDescent="0.3">
      <c r="A317" s="3" t="str">
        <f>HYPERLINK("https://hpr-rps.hres.ca/reg-content/summary-basis-decision-detailTwo.php?lang=en&amp;linkID=SBD00326", "Uptravi")</f>
        <v>Uptravi</v>
      </c>
      <c r="B317" s="1" t="s">
        <v>847</v>
      </c>
      <c r="C317" s="1" t="s">
        <v>848</v>
      </c>
      <c r="D317" s="1" t="s">
        <v>849</v>
      </c>
      <c r="E317" s="1">
        <v>42018.25</v>
      </c>
      <c r="F317" s="1"/>
      <c r="G317" s="1"/>
      <c r="H317" s="1">
        <v>42048.25</v>
      </c>
      <c r="I317" s="1">
        <v>42090.208333333343</v>
      </c>
      <c r="J317" s="1"/>
      <c r="K317" s="1"/>
      <c r="L317" s="1"/>
      <c r="M317" s="1"/>
      <c r="N317" s="1"/>
      <c r="O317" s="1"/>
      <c r="P317" s="1"/>
      <c r="Q317" s="1"/>
      <c r="R317" s="1"/>
      <c r="S317" s="1"/>
      <c r="T317" s="1"/>
      <c r="U317" s="1"/>
      <c r="V317" s="1"/>
      <c r="W317" s="1"/>
      <c r="X317" s="1">
        <v>42387.25</v>
      </c>
      <c r="Y317" s="1">
        <v>42361.25</v>
      </c>
      <c r="Z317" s="1"/>
      <c r="AA317" s="1"/>
      <c r="AB317" s="1"/>
      <c r="AC317" s="1"/>
      <c r="AD317" s="1"/>
      <c r="AE317" s="1"/>
      <c r="AF317" s="1"/>
      <c r="AG317" s="1"/>
      <c r="AH317" s="1"/>
      <c r="AI317" s="1">
        <v>42388.25</v>
      </c>
      <c r="AJ317" s="1"/>
      <c r="AK317" s="1"/>
      <c r="AL317" s="1"/>
      <c r="AM317" s="1">
        <v>42389.25</v>
      </c>
      <c r="AN317" s="1"/>
      <c r="AO317" s="1"/>
      <c r="AP317" s="1"/>
      <c r="AQ317" s="1"/>
      <c r="AR317" s="1"/>
      <c r="AS317" s="1">
        <v>42377.25</v>
      </c>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row>
    <row r="318" spans="1:216" x14ac:dyDescent="0.3">
      <c r="A318" s="3" t="str">
        <f>HYPERLINK("https://hpr-rps.hres.ca/reg-content/summary-basis-decision-detailTwo.php?lang=en&amp;linkID=SBD00350", "Mictoryl/Mictoryl Pediatric")</f>
        <v>Mictoryl/Mictoryl Pediatric</v>
      </c>
      <c r="B318" s="1" t="s">
        <v>850</v>
      </c>
      <c r="C318" s="1" t="s">
        <v>851</v>
      </c>
      <c r="D318" s="1" t="s">
        <v>852</v>
      </c>
      <c r="E318" s="1">
        <v>42165.25</v>
      </c>
      <c r="F318" s="1"/>
      <c r="G318" s="1"/>
      <c r="H318" s="1">
        <v>42300.25</v>
      </c>
      <c r="I318" s="1"/>
      <c r="J318" s="1"/>
      <c r="K318" s="1"/>
      <c r="L318" s="1"/>
      <c r="M318" s="1"/>
      <c r="N318" s="1"/>
      <c r="O318" s="1"/>
      <c r="P318" s="1"/>
      <c r="Q318" s="1"/>
      <c r="R318" s="1"/>
      <c r="S318" s="1"/>
      <c r="T318" s="1"/>
      <c r="U318" s="1"/>
      <c r="V318" s="1"/>
      <c r="W318" s="1"/>
      <c r="X318" s="1"/>
      <c r="Y318" s="1"/>
      <c r="Z318" s="1">
        <v>42355.25</v>
      </c>
      <c r="AA318" s="1"/>
      <c r="AB318" s="1"/>
      <c r="AC318" s="1">
        <v>42395.25</v>
      </c>
      <c r="AD318" s="1"/>
      <c r="AE318" s="1"/>
      <c r="AF318" s="1">
        <v>42440.25</v>
      </c>
      <c r="AG318" s="1"/>
      <c r="AH318" s="1"/>
      <c r="AI318" s="1"/>
      <c r="AJ318" s="1"/>
      <c r="AK318" s="1"/>
      <c r="AL318" s="1"/>
      <c r="AM318" s="1"/>
      <c r="AN318" s="1"/>
      <c r="AO318" s="1"/>
      <c r="AP318" s="1"/>
      <c r="AQ318" s="1"/>
      <c r="AR318" s="1">
        <v>42723.25</v>
      </c>
      <c r="AS318" s="1">
        <v>42710.25</v>
      </c>
      <c r="AT318" s="1"/>
      <c r="AU318" s="1"/>
      <c r="AV318" s="1">
        <v>42727.25</v>
      </c>
      <c r="AW318" s="1"/>
      <c r="AX318" s="1"/>
      <c r="AY318" s="1"/>
      <c r="AZ318" s="1">
        <v>42732.25</v>
      </c>
      <c r="BA318" s="1"/>
      <c r="BB318" s="1"/>
      <c r="BC318" s="1"/>
      <c r="BD318" s="1"/>
      <c r="BE318" s="1"/>
      <c r="BF318" s="1"/>
      <c r="BG318" s="1"/>
      <c r="BH318" s="1"/>
      <c r="BI318" s="1"/>
      <c r="BJ318" s="1"/>
      <c r="BK318" s="1"/>
      <c r="BL318" s="1"/>
      <c r="BM318" s="1">
        <v>42740.25</v>
      </c>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row>
    <row r="319" spans="1:216" x14ac:dyDescent="0.3">
      <c r="A319" s="3" t="str">
        <f>HYPERLINK("https://hpr-rps.hres.ca/reg-content/summary-basis-decision-detailTwo.php?lang=en&amp;linkID=SBD00327", "Taltz")</f>
        <v>Taltz</v>
      </c>
      <c r="B319" s="1" t="s">
        <v>853</v>
      </c>
      <c r="C319" s="1" t="s">
        <v>140</v>
      </c>
      <c r="D319" s="1" t="s">
        <v>854</v>
      </c>
      <c r="E319" s="1">
        <v>42129.25</v>
      </c>
      <c r="F319" s="1"/>
      <c r="G319" s="1"/>
      <c r="H319" s="1">
        <v>42160.25</v>
      </c>
      <c r="I319" s="1"/>
      <c r="J319" s="1"/>
      <c r="K319" s="1"/>
      <c r="L319" s="1"/>
      <c r="M319" s="1"/>
      <c r="N319" s="1"/>
      <c r="O319" s="1"/>
      <c r="P319" s="1"/>
      <c r="Q319" s="1"/>
      <c r="R319" s="1"/>
      <c r="S319" s="1"/>
      <c r="T319" s="1"/>
      <c r="U319" s="1"/>
      <c r="V319" s="1"/>
      <c r="W319" s="1"/>
      <c r="X319" s="1"/>
      <c r="Y319" s="1"/>
      <c r="Z319" s="1"/>
      <c r="AA319" s="1"/>
      <c r="AB319" s="1"/>
      <c r="AC319" s="1"/>
      <c r="AD319" s="1"/>
      <c r="AE319" s="1"/>
      <c r="AF319" s="1">
        <v>42215.25</v>
      </c>
      <c r="AG319" s="1"/>
      <c r="AH319" s="1"/>
      <c r="AI319" s="1"/>
      <c r="AJ319" s="1"/>
      <c r="AK319" s="1"/>
      <c r="AL319" s="1"/>
      <c r="AM319" s="1"/>
      <c r="AN319" s="1"/>
      <c r="AO319" s="1">
        <v>42485.25</v>
      </c>
      <c r="AP319" s="1"/>
      <c r="AQ319" s="1"/>
      <c r="AR319" s="1">
        <v>42496.25</v>
      </c>
      <c r="AS319" s="1"/>
      <c r="AT319" s="1"/>
      <c r="AU319" s="1"/>
      <c r="AV319" s="1">
        <v>42510.25</v>
      </c>
      <c r="AW319" s="1"/>
      <c r="AX319" s="1">
        <v>42515.25</v>
      </c>
      <c r="AY319" s="1"/>
      <c r="AZ319" s="1">
        <v>42515.25</v>
      </c>
      <c r="BA319" s="1"/>
      <c r="BB319" s="1"/>
      <c r="BC319" s="1"/>
      <c r="BD319" s="1"/>
      <c r="BE319" s="1"/>
      <c r="BF319" s="1"/>
      <c r="BG319" s="1"/>
      <c r="BH319" s="1"/>
      <c r="BI319" s="1"/>
      <c r="BJ319" s="1"/>
      <c r="BK319" s="1"/>
      <c r="BL319" s="1"/>
      <c r="BM319" s="1">
        <v>42515.25</v>
      </c>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row>
    <row r="320" spans="1:216" x14ac:dyDescent="0.3">
      <c r="A320" s="3" t="str">
        <f>HYPERLINK("https://hpr-rps.hres.ca/reg-content/summary-basis-decision-detailTwo.php?lang=en&amp;linkID=SBD00328", "Tagrisso")</f>
        <v>Tagrisso</v>
      </c>
      <c r="B320" s="1" t="s">
        <v>855</v>
      </c>
      <c r="C320" s="1" t="s">
        <v>137</v>
      </c>
      <c r="D320" s="1" t="s">
        <v>856</v>
      </c>
      <c r="E320" s="1">
        <v>42192.25</v>
      </c>
      <c r="F320" s="1"/>
      <c r="G320" s="1">
        <v>42230.25</v>
      </c>
      <c r="H320" s="1">
        <v>42278.25</v>
      </c>
      <c r="I320" s="1">
        <v>42321.25</v>
      </c>
      <c r="J320" s="1"/>
      <c r="K320" s="1"/>
      <c r="L320" s="1"/>
      <c r="M320" s="1"/>
      <c r="N320" s="1"/>
      <c r="O320" s="1"/>
      <c r="P320" s="1"/>
      <c r="Q320" s="1"/>
      <c r="R320" s="1"/>
      <c r="S320" s="1"/>
      <c r="T320" s="1"/>
      <c r="U320" s="1"/>
      <c r="V320" s="1"/>
      <c r="W320" s="1"/>
      <c r="X320" s="1">
        <v>42500.25</v>
      </c>
      <c r="Y320" s="1">
        <v>42517.25</v>
      </c>
      <c r="Z320" s="1"/>
      <c r="AA320" s="1"/>
      <c r="AB320" s="1"/>
      <c r="AC320" s="1">
        <v>42522.25</v>
      </c>
      <c r="AD320" s="1"/>
      <c r="AE320" s="1"/>
      <c r="AF320" s="1"/>
      <c r="AG320" s="1"/>
      <c r="AH320" s="1"/>
      <c r="AI320" s="1">
        <v>42517.25</v>
      </c>
      <c r="AJ320" s="1"/>
      <c r="AK320" s="1"/>
      <c r="AL320" s="1"/>
      <c r="AM320" s="1">
        <v>42520.25</v>
      </c>
      <c r="AN320" s="1"/>
      <c r="AO320" s="1"/>
      <c r="AP320" s="1"/>
      <c r="AQ320" s="1"/>
      <c r="AR320" s="1"/>
      <c r="AS320" s="1">
        <v>42466.25</v>
      </c>
      <c r="AT320" s="1"/>
      <c r="AU320" s="1"/>
      <c r="AV320" s="1"/>
      <c r="AW320" s="1"/>
      <c r="AX320" s="1"/>
      <c r="AY320" s="1"/>
      <c r="AZ320" s="1">
        <v>42551.25</v>
      </c>
      <c r="BA320" s="1"/>
      <c r="BB320" s="1"/>
      <c r="BC320" s="1"/>
      <c r="BD320" s="1"/>
      <c r="BE320" s="1">
        <v>42551.25</v>
      </c>
      <c r="BF320" s="1"/>
      <c r="BG320" s="1"/>
      <c r="BH320" s="1"/>
      <c r="BI320" s="1"/>
      <c r="BJ320" s="1"/>
      <c r="BK320" s="1"/>
      <c r="BL320" s="1">
        <v>42556.25</v>
      </c>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row>
    <row r="321" spans="1:216" x14ac:dyDescent="0.3">
      <c r="A321" s="3" t="str">
        <f>HYPERLINK("https://hpr-rps.hres.ca/reg-content/summary-basis-decision-detailTwo.php?lang=en&amp;linkID=SBD00343", "Afstyla")</f>
        <v>Afstyla</v>
      </c>
      <c r="B321" s="1" t="s">
        <v>857</v>
      </c>
      <c r="C321" s="1" t="s">
        <v>126</v>
      </c>
      <c r="D321" s="1" t="s">
        <v>858</v>
      </c>
      <c r="E321" s="1">
        <v>42258.25</v>
      </c>
      <c r="F321" s="1"/>
      <c r="G321" s="1"/>
      <c r="H321" s="1">
        <v>42361.25</v>
      </c>
      <c r="I321" s="1"/>
      <c r="J321" s="1"/>
      <c r="K321" s="1"/>
      <c r="L321" s="1"/>
      <c r="M321" s="1"/>
      <c r="N321" s="1"/>
      <c r="O321" s="1"/>
      <c r="P321" s="1"/>
      <c r="Q321" s="1"/>
      <c r="R321" s="1"/>
      <c r="S321" s="1"/>
      <c r="T321" s="1"/>
      <c r="U321" s="1"/>
      <c r="V321" s="1"/>
      <c r="W321" s="1"/>
      <c r="X321" s="1"/>
      <c r="Y321" s="1"/>
      <c r="Z321" s="1"/>
      <c r="AA321" s="1"/>
      <c r="AB321" s="1"/>
      <c r="AC321" s="1"/>
      <c r="AD321" s="1"/>
      <c r="AE321" s="1"/>
      <c r="AF321" s="1">
        <v>42417.25</v>
      </c>
      <c r="AG321" s="1"/>
      <c r="AH321" s="1"/>
      <c r="AI321" s="1"/>
      <c r="AJ321" s="1"/>
      <c r="AK321" s="1"/>
      <c r="AL321" s="1"/>
      <c r="AM321" s="1"/>
      <c r="AN321" s="1"/>
      <c r="AO321" s="1">
        <v>42683.25</v>
      </c>
      <c r="AP321" s="1"/>
      <c r="AQ321" s="1"/>
      <c r="AR321" s="1">
        <v>42712.25</v>
      </c>
      <c r="AS321" s="1"/>
      <c r="AT321" s="1"/>
      <c r="AU321" s="1"/>
      <c r="AV321" s="1">
        <v>42711.25</v>
      </c>
      <c r="AW321" s="1"/>
      <c r="AX321" s="1"/>
      <c r="AY321" s="1"/>
      <c r="AZ321" s="1">
        <v>42712.25</v>
      </c>
      <c r="BA321" s="1"/>
      <c r="BB321" s="1"/>
      <c r="BC321" s="1"/>
      <c r="BD321" s="1"/>
      <c r="BE321" s="1"/>
      <c r="BF321" s="1"/>
      <c r="BG321" s="1"/>
      <c r="BH321" s="1"/>
      <c r="BI321" s="1"/>
      <c r="BJ321" s="1"/>
      <c r="BK321" s="1"/>
      <c r="BL321" s="1"/>
      <c r="BM321" s="1">
        <v>42716.25</v>
      </c>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row>
    <row r="322" spans="1:216" x14ac:dyDescent="0.3">
      <c r="A322" s="3" t="str">
        <f>HYPERLINK("https://hpr-rps.hres.ca/reg-content/summary-basis-decision-detailTwo.php?lang=en&amp;linkID=SBD00329", "Epclusa")</f>
        <v>Epclusa</v>
      </c>
      <c r="B322" s="1" t="s">
        <v>859</v>
      </c>
      <c r="C322" s="1" t="s">
        <v>134</v>
      </c>
      <c r="D322" s="1" t="s">
        <v>860</v>
      </c>
      <c r="E322" s="1">
        <v>42304.208333333343</v>
      </c>
      <c r="F322" s="1"/>
      <c r="G322" s="1"/>
      <c r="H322" s="1"/>
      <c r="I322" s="1"/>
      <c r="J322" s="1"/>
      <c r="K322" s="1"/>
      <c r="L322" s="1"/>
      <c r="M322" s="1"/>
      <c r="N322" s="1">
        <v>42313.25</v>
      </c>
      <c r="O322" s="1"/>
      <c r="P322" s="1"/>
      <c r="Q322" s="1"/>
      <c r="R322" s="1"/>
      <c r="S322" s="1">
        <v>42347.25</v>
      </c>
      <c r="T322" s="1"/>
      <c r="U322" s="1"/>
      <c r="V322" s="1">
        <v>42352.25</v>
      </c>
      <c r="W322" s="1"/>
      <c r="X322" s="1"/>
      <c r="Y322" s="1"/>
      <c r="Z322" s="1"/>
      <c r="AA322" s="1"/>
      <c r="AB322" s="1"/>
      <c r="AC322" s="1"/>
      <c r="AD322" s="1"/>
      <c r="AE322" s="1"/>
      <c r="AF322" s="1">
        <v>42384.25</v>
      </c>
      <c r="AG322" s="1"/>
      <c r="AH322" s="1"/>
      <c r="AI322" s="1"/>
      <c r="AJ322" s="1"/>
      <c r="AK322" s="1"/>
      <c r="AL322" s="1"/>
      <c r="AM322" s="1"/>
      <c r="AN322" s="1"/>
      <c r="AO322" s="1"/>
      <c r="AP322" s="1"/>
      <c r="AQ322" s="1"/>
      <c r="AR322" s="1">
        <v>42200.25</v>
      </c>
      <c r="AS322" s="1">
        <v>42076.208333333343</v>
      </c>
      <c r="AT322" s="1"/>
      <c r="AU322" s="1"/>
      <c r="AV322" s="1">
        <v>42139.25</v>
      </c>
      <c r="AW322" s="1"/>
      <c r="AX322" s="1"/>
      <c r="AY322" s="1"/>
      <c r="AZ322" s="1">
        <v>42194.25</v>
      </c>
      <c r="BA322" s="1"/>
      <c r="BB322" s="1"/>
      <c r="BC322" s="1"/>
      <c r="BD322" s="1"/>
      <c r="BE322" s="1"/>
      <c r="BF322" s="1"/>
      <c r="BG322" s="1"/>
      <c r="BH322" s="1"/>
      <c r="BI322" s="1"/>
      <c r="BJ322" s="1"/>
      <c r="BK322" s="1"/>
      <c r="BL322" s="1"/>
      <c r="BM322" s="1">
        <v>42562.25</v>
      </c>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row>
    <row r="323" spans="1:216" x14ac:dyDescent="0.3">
      <c r="A323" s="3" t="str">
        <f>HYPERLINK("https://hpr-rps.hres.ca/reg-content/summary-basis-decision-detailTwo.php?lang=en&amp;linkID=SBD00330", "Remsima")</f>
        <v>Remsima</v>
      </c>
      <c r="B323" s="1" t="s">
        <v>698</v>
      </c>
      <c r="C323" s="1" t="s">
        <v>699</v>
      </c>
      <c r="D323" s="1" t="s">
        <v>861</v>
      </c>
      <c r="E323" s="1">
        <v>40830.25</v>
      </c>
      <c r="F323" s="1"/>
      <c r="G323" s="1"/>
      <c r="H323" s="1">
        <v>41227.25</v>
      </c>
      <c r="I323" s="1"/>
      <c r="J323" s="1"/>
      <c r="K323" s="1"/>
      <c r="L323" s="1"/>
      <c r="M323" s="1"/>
      <c r="N323" s="1"/>
      <c r="O323" s="1"/>
      <c r="P323" s="1"/>
      <c r="Q323" s="1"/>
      <c r="R323" s="1"/>
      <c r="S323" s="1"/>
      <c r="T323" s="1"/>
      <c r="U323" s="1"/>
      <c r="V323" s="1"/>
      <c r="W323" s="1"/>
      <c r="X323" s="1"/>
      <c r="Y323" s="1"/>
      <c r="Z323" s="1">
        <v>41288.25</v>
      </c>
      <c r="AA323" s="1"/>
      <c r="AB323" s="1"/>
      <c r="AC323" s="1">
        <v>41309.25</v>
      </c>
      <c r="AD323" s="1"/>
      <c r="AE323" s="1"/>
      <c r="AF323" s="1">
        <v>41354.208333333343</v>
      </c>
      <c r="AG323" s="1"/>
      <c r="AH323" s="1"/>
      <c r="AI323" s="1"/>
      <c r="AJ323" s="1"/>
      <c r="AK323" s="1"/>
      <c r="AL323" s="1"/>
      <c r="AM323" s="1"/>
      <c r="AN323" s="1"/>
      <c r="AO323" s="1">
        <v>41603.25</v>
      </c>
      <c r="AP323" s="1"/>
      <c r="AQ323" s="1"/>
      <c r="AR323" s="1">
        <v>41654.25</v>
      </c>
      <c r="AS323" s="1"/>
      <c r="AT323" s="1"/>
      <c r="AU323" s="1"/>
      <c r="AV323" s="1">
        <v>41654.25</v>
      </c>
      <c r="AW323" s="1"/>
      <c r="AX323" s="1"/>
      <c r="AY323" s="1"/>
      <c r="AZ323" s="1">
        <v>41654.25</v>
      </c>
      <c r="BA323" s="1"/>
      <c r="BB323" s="1"/>
      <c r="BC323" s="1"/>
      <c r="BD323" s="1"/>
      <c r="BE323" s="1"/>
      <c r="BF323" s="1"/>
      <c r="BG323" s="1"/>
      <c r="BH323" s="1"/>
      <c r="BI323" s="1"/>
      <c r="BJ323" s="1"/>
      <c r="BK323" s="1"/>
      <c r="BL323" s="1"/>
      <c r="BM323" s="1">
        <v>41654.25</v>
      </c>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row>
    <row r="324" spans="1:216" x14ac:dyDescent="0.3">
      <c r="A324" s="3" t="str">
        <f>HYPERLINK("https://hpr-rps.hres.ca/reg-content/summary-basis-decision-detailTwo.php?lang=en&amp;linkID=SBD00331", "Cinqair")</f>
        <v>Cinqair</v>
      </c>
      <c r="B324" s="1" t="s">
        <v>862</v>
      </c>
      <c r="C324" s="1" t="s">
        <v>863</v>
      </c>
      <c r="D324" s="1" t="s">
        <v>864</v>
      </c>
      <c r="E324" s="1">
        <v>42124.25</v>
      </c>
      <c r="F324" s="1"/>
      <c r="G324" s="1"/>
      <c r="H324" s="1">
        <v>42188.25</v>
      </c>
      <c r="I324" s="1"/>
      <c r="J324" s="1"/>
      <c r="K324" s="1"/>
      <c r="L324" s="1"/>
      <c r="M324" s="1"/>
      <c r="N324" s="1"/>
      <c r="O324" s="1"/>
      <c r="P324" s="1"/>
      <c r="Q324" s="1"/>
      <c r="R324" s="1"/>
      <c r="S324" s="1"/>
      <c r="T324" s="1"/>
      <c r="U324" s="1"/>
      <c r="V324" s="1"/>
      <c r="W324" s="1"/>
      <c r="X324" s="1"/>
      <c r="Y324" s="1"/>
      <c r="Z324" s="1">
        <v>42236.25</v>
      </c>
      <c r="AA324" s="1"/>
      <c r="AB324" s="1"/>
      <c r="AC324" s="1">
        <v>42256.25</v>
      </c>
      <c r="AD324" s="1"/>
      <c r="AE324" s="1"/>
      <c r="AF324" s="1">
        <v>42272.25</v>
      </c>
      <c r="AG324" s="1"/>
      <c r="AH324" s="1"/>
      <c r="AI324" s="1"/>
      <c r="AJ324" s="1"/>
      <c r="AK324" s="1"/>
      <c r="AL324" s="1"/>
      <c r="AM324" s="1"/>
      <c r="AN324" s="1"/>
      <c r="AO324" s="1"/>
      <c r="AP324" s="1"/>
      <c r="AQ324" s="1"/>
      <c r="AR324" s="1">
        <v>42563.25</v>
      </c>
      <c r="AS324" s="1"/>
      <c r="AT324" s="1"/>
      <c r="AU324" s="1"/>
      <c r="AV324" s="1">
        <v>42563.25</v>
      </c>
      <c r="AW324" s="1"/>
      <c r="AX324" s="1"/>
      <c r="AY324" s="1"/>
      <c r="AZ324" s="1">
        <v>42564.25</v>
      </c>
      <c r="BA324" s="1"/>
      <c r="BB324" s="1"/>
      <c r="BC324" s="1"/>
      <c r="BD324" s="1"/>
      <c r="BE324" s="1"/>
      <c r="BF324" s="1"/>
      <c r="BG324" s="1"/>
      <c r="BH324" s="1"/>
      <c r="BI324" s="1"/>
      <c r="BJ324" s="1"/>
      <c r="BK324" s="1"/>
      <c r="BL324" s="1"/>
      <c r="BM324" s="1">
        <v>42571.25</v>
      </c>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row>
    <row r="325" spans="1:216" x14ac:dyDescent="0.3">
      <c r="A325" s="3" t="str">
        <f>HYPERLINK("https://hpr-rps.hres.ca/reg-content/summary-basis-decision-detailTwo.php?lang=en&amp;linkID=SBD00332", "Alecensaro")</f>
        <v>Alecensaro</v>
      </c>
      <c r="B325" s="1" t="s">
        <v>865</v>
      </c>
      <c r="C325" s="1" t="s">
        <v>866</v>
      </c>
      <c r="D325" s="1" t="s">
        <v>867</v>
      </c>
      <c r="E325" s="1"/>
      <c r="F325" s="1"/>
      <c r="G325" s="1"/>
      <c r="H325" s="1">
        <v>42320.25</v>
      </c>
      <c r="I325" s="1"/>
      <c r="J325" s="1"/>
      <c r="K325" s="1"/>
      <c r="L325" s="1"/>
      <c r="M325" s="1"/>
      <c r="N325" s="1"/>
      <c r="O325" s="1"/>
      <c r="P325" s="1"/>
      <c r="Q325" s="1"/>
      <c r="R325" s="1"/>
      <c r="S325" s="1"/>
      <c r="T325" s="1"/>
      <c r="U325" s="1"/>
      <c r="V325" s="1"/>
      <c r="W325" s="1"/>
      <c r="X325" s="1"/>
      <c r="Y325" s="1"/>
      <c r="Z325" s="1">
        <v>42355.25</v>
      </c>
      <c r="AA325" s="1"/>
      <c r="AB325" s="1"/>
      <c r="AC325" s="1">
        <v>42391.25</v>
      </c>
      <c r="AD325" s="1"/>
      <c r="AE325" s="1"/>
      <c r="AF325" s="1">
        <v>42411.25</v>
      </c>
      <c r="AG325" s="1"/>
      <c r="AH325" s="1"/>
      <c r="AI325" s="1"/>
      <c r="AJ325" s="1"/>
      <c r="AK325" s="1"/>
      <c r="AL325" s="1"/>
      <c r="AM325" s="1"/>
      <c r="AN325" s="1"/>
      <c r="AO325" s="1"/>
      <c r="AP325" s="1"/>
      <c r="AQ325" s="1"/>
      <c r="AR325" s="1">
        <v>42606.25</v>
      </c>
      <c r="AS325" s="1">
        <v>42549.25</v>
      </c>
      <c r="AT325" s="1"/>
      <c r="AU325" s="1"/>
      <c r="AV325" s="1">
        <v>42559.25</v>
      </c>
      <c r="AW325" s="1"/>
      <c r="AX325" s="1">
        <v>42544.25</v>
      </c>
      <c r="AY325" s="1"/>
      <c r="AZ325" s="1"/>
      <c r="BA325" s="1"/>
      <c r="BB325" s="1"/>
      <c r="BC325" s="1"/>
      <c r="BD325" s="1"/>
      <c r="BE325" s="1"/>
      <c r="BF325" s="1"/>
      <c r="BG325" s="1"/>
      <c r="BH325" s="1"/>
      <c r="BI325" s="1"/>
      <c r="BJ325" s="1"/>
      <c r="BK325" s="1">
        <v>42607.25</v>
      </c>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v>42636.25</v>
      </c>
      <c r="CV325" s="1"/>
      <c r="CW325" s="1"/>
      <c r="CX325" s="1"/>
      <c r="CY325" s="1"/>
      <c r="CZ325" s="1"/>
      <c r="DA325" s="1"/>
      <c r="DB325" s="1"/>
      <c r="DC325" s="1"/>
      <c r="DD325" s="1"/>
      <c r="DE325" s="1"/>
      <c r="DF325" s="1"/>
      <c r="DG325" s="1">
        <v>42641.25</v>
      </c>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row>
    <row r="326" spans="1:216" x14ac:dyDescent="0.3">
      <c r="A326" s="3" t="str">
        <f>HYPERLINK("https://hpr-rps.hres.ca/reg-content/summary-basis-decision-detailTwo.php?lang=en&amp;linkID=SBD00333", "Brenzys")</f>
        <v>Brenzys</v>
      </c>
      <c r="B326" s="1" t="s">
        <v>868</v>
      </c>
      <c r="C326" s="1" t="s">
        <v>869</v>
      </c>
      <c r="D326" s="1" t="s">
        <v>870</v>
      </c>
      <c r="E326" s="1">
        <v>41921.25</v>
      </c>
      <c r="F326" s="1"/>
      <c r="G326" s="1"/>
      <c r="H326" s="1">
        <v>42163.25</v>
      </c>
      <c r="I326" s="1"/>
      <c r="J326" s="1"/>
      <c r="K326" s="1"/>
      <c r="L326" s="1"/>
      <c r="M326" s="1"/>
      <c r="N326" s="1"/>
      <c r="O326" s="1"/>
      <c r="P326" s="1"/>
      <c r="Q326" s="1"/>
      <c r="R326" s="1"/>
      <c r="S326" s="1"/>
      <c r="T326" s="1"/>
      <c r="U326" s="1"/>
      <c r="V326" s="1"/>
      <c r="W326" s="1"/>
      <c r="X326" s="1"/>
      <c r="Y326" s="1"/>
      <c r="Z326" s="1"/>
      <c r="AA326" s="1"/>
      <c r="AB326" s="1"/>
      <c r="AC326" s="1"/>
      <c r="AD326" s="1"/>
      <c r="AE326" s="1"/>
      <c r="AF326" s="1">
        <v>42222.25</v>
      </c>
      <c r="AG326" s="1"/>
      <c r="AH326" s="1"/>
      <c r="AI326" s="1"/>
      <c r="AJ326" s="1"/>
      <c r="AK326" s="1"/>
      <c r="AL326" s="1"/>
      <c r="AM326" s="1"/>
      <c r="AN326" s="1"/>
      <c r="AO326" s="1">
        <v>42345.25</v>
      </c>
      <c r="AP326" s="1"/>
      <c r="AQ326" s="1"/>
      <c r="AR326" s="1">
        <v>42517.25</v>
      </c>
      <c r="AS326" s="1"/>
      <c r="AT326" s="1"/>
      <c r="AU326" s="1"/>
      <c r="AV326" s="1">
        <v>42514.25</v>
      </c>
      <c r="AW326" s="1"/>
      <c r="AX326" s="1"/>
      <c r="AY326" s="1"/>
      <c r="AZ326" s="1">
        <v>42514.25</v>
      </c>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row>
    <row r="327" spans="1:216" x14ac:dyDescent="0.3">
      <c r="A327" s="3" t="str">
        <f>HYPERLINK("https://hpr-rps.hres.ca/reg-content/summary-basis-decision-detailTwo.php?lang=en&amp;linkID=SBD00334", "Ninlaro")</f>
        <v>Ninlaro</v>
      </c>
      <c r="B327" s="1" t="s">
        <v>871</v>
      </c>
      <c r="C327" s="1" t="s">
        <v>872</v>
      </c>
      <c r="D327" s="1" t="s">
        <v>873</v>
      </c>
      <c r="E327" s="1">
        <v>42193.25</v>
      </c>
      <c r="F327" s="1"/>
      <c r="G327" s="1"/>
      <c r="H327" s="1"/>
      <c r="I327" s="1"/>
      <c r="J327" s="1"/>
      <c r="K327" s="1"/>
      <c r="L327" s="1"/>
      <c r="M327" s="1"/>
      <c r="N327" s="1">
        <v>42320.25</v>
      </c>
      <c r="O327" s="1"/>
      <c r="P327" s="1"/>
      <c r="Q327" s="1"/>
      <c r="R327" s="1"/>
      <c r="S327" s="1">
        <v>42346.25</v>
      </c>
      <c r="T327" s="1"/>
      <c r="U327" s="1"/>
      <c r="V327" s="1">
        <v>42352.25</v>
      </c>
      <c r="W327" s="1"/>
      <c r="X327" s="1"/>
      <c r="Y327" s="1"/>
      <c r="Z327" s="1">
        <v>42384.25</v>
      </c>
      <c r="AA327" s="1"/>
      <c r="AB327" s="1"/>
      <c r="AC327" s="1">
        <v>42397.25</v>
      </c>
      <c r="AD327" s="1"/>
      <c r="AE327" s="1"/>
      <c r="AF327" s="1">
        <v>42409.25</v>
      </c>
      <c r="AG327" s="1"/>
      <c r="AH327" s="1"/>
      <c r="AI327" s="1"/>
      <c r="AJ327" s="1"/>
      <c r="AK327" s="1"/>
      <c r="AL327" s="1"/>
      <c r="AM327" s="1"/>
      <c r="AN327" s="1"/>
      <c r="AO327" s="1"/>
      <c r="AP327" s="1"/>
      <c r="AQ327" s="1"/>
      <c r="AR327" s="1">
        <v>42586.25</v>
      </c>
      <c r="AS327" s="1">
        <v>42501.25</v>
      </c>
      <c r="AT327" s="1"/>
      <c r="AU327" s="1"/>
      <c r="AV327" s="1">
        <v>42565.25</v>
      </c>
      <c r="AW327" s="1"/>
      <c r="AX327" s="1"/>
      <c r="AY327" s="1"/>
      <c r="AZ327" s="1">
        <v>42586.25</v>
      </c>
      <c r="BA327" s="1"/>
      <c r="BB327" s="1"/>
      <c r="BC327" s="1"/>
      <c r="BD327" s="1"/>
      <c r="BE327" s="1"/>
      <c r="BF327" s="1"/>
      <c r="BG327" s="1"/>
      <c r="BH327" s="1"/>
      <c r="BI327" s="1"/>
      <c r="BJ327" s="1"/>
      <c r="BK327" s="1"/>
      <c r="BL327" s="1"/>
      <c r="BM327" s="1">
        <v>42586.25</v>
      </c>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row>
    <row r="328" spans="1:216" x14ac:dyDescent="0.3">
      <c r="A328" s="3" t="str">
        <f>HYPERLINK("https://hpr-rps.hres.ca/reg-content/summary-basis-decision-detailTwo.php?lang=en&amp;linkID=SBD00335", "Rupall (Formerly Rupatadine)")</f>
        <v>Rupall (Formerly Rupatadine)</v>
      </c>
      <c r="B328" s="1" t="s">
        <v>874</v>
      </c>
      <c r="C328" s="1" t="s">
        <v>875</v>
      </c>
      <c r="D328" s="1" t="s">
        <v>876</v>
      </c>
      <c r="E328" s="1"/>
      <c r="F328" s="1"/>
      <c r="G328" s="1"/>
      <c r="H328" s="1">
        <v>40590.25</v>
      </c>
      <c r="I328" s="1"/>
      <c r="J328" s="1"/>
      <c r="K328" s="1"/>
      <c r="L328" s="1"/>
      <c r="M328" s="1"/>
      <c r="N328" s="1"/>
      <c r="O328" s="1"/>
      <c r="P328" s="1"/>
      <c r="Q328" s="1"/>
      <c r="R328" s="1"/>
      <c r="S328" s="1"/>
      <c r="T328" s="1"/>
      <c r="U328" s="1"/>
      <c r="V328" s="1"/>
      <c r="W328" s="1">
        <v>41918.25</v>
      </c>
      <c r="X328" s="1"/>
      <c r="Y328" s="1"/>
      <c r="Z328" s="1">
        <v>40634.25</v>
      </c>
      <c r="AA328" s="1"/>
      <c r="AB328" s="1"/>
      <c r="AC328" s="1">
        <v>40651.25</v>
      </c>
      <c r="AD328" s="1"/>
      <c r="AE328" s="1"/>
      <c r="AF328" s="1">
        <v>40695.25</v>
      </c>
      <c r="AG328" s="1"/>
      <c r="AH328" s="1"/>
      <c r="AI328" s="1"/>
      <c r="AJ328" s="1"/>
      <c r="AK328" s="1"/>
      <c r="AL328" s="1">
        <v>42208.25</v>
      </c>
      <c r="AM328" s="1"/>
      <c r="AN328" s="1"/>
      <c r="AO328" s="1"/>
      <c r="AP328" s="1"/>
      <c r="AQ328" s="1"/>
      <c r="AR328" s="1"/>
      <c r="AS328" s="1"/>
      <c r="AT328" s="1"/>
      <c r="AU328" s="1"/>
      <c r="AV328" s="1"/>
      <c r="AW328" s="1">
        <v>42271.25</v>
      </c>
      <c r="AX328" s="1"/>
      <c r="AY328" s="1"/>
      <c r="AZ328" s="1"/>
      <c r="BA328" s="1"/>
      <c r="BB328" s="1"/>
      <c r="BC328" s="1"/>
      <c r="BD328" s="1"/>
      <c r="BE328" s="1"/>
      <c r="BF328" s="1"/>
      <c r="BG328" s="1"/>
      <c r="BH328" s="1"/>
      <c r="BI328" s="1">
        <v>42571.25</v>
      </c>
      <c r="BJ328" s="1">
        <v>42485.25</v>
      </c>
      <c r="BK328" s="1"/>
      <c r="BL328" s="1"/>
      <c r="BM328" s="1">
        <v>42569.25</v>
      </c>
      <c r="BN328" s="1"/>
      <c r="BO328" s="1"/>
      <c r="BP328" s="1"/>
      <c r="BQ328" s="1">
        <v>42571.25</v>
      </c>
      <c r="BR328" s="1"/>
      <c r="BS328" s="1"/>
      <c r="BT328" s="1"/>
      <c r="BU328" s="1"/>
      <c r="BV328" s="1"/>
      <c r="BW328" s="1"/>
      <c r="BX328" s="1"/>
      <c r="BY328" s="1"/>
      <c r="BZ328" s="1"/>
      <c r="CA328" s="1"/>
      <c r="CB328" s="1"/>
      <c r="CC328" s="1"/>
      <c r="CD328" s="1">
        <v>42571.25</v>
      </c>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row>
    <row r="329" spans="1:216" x14ac:dyDescent="0.3">
      <c r="A329" s="3" t="str">
        <f>HYPERLINK("https://hpr-rps.hres.ca/reg-content/summary-basis-decision-detailTwo.php?lang=en&amp;linkID=SBD00336", "MDK-Nitisinone")</f>
        <v>MDK-Nitisinone</v>
      </c>
      <c r="B329" s="1" t="s">
        <v>877</v>
      </c>
      <c r="C329" s="1" t="s">
        <v>878</v>
      </c>
      <c r="D329" s="1" t="s">
        <v>879</v>
      </c>
      <c r="E329" s="1">
        <v>42128.25</v>
      </c>
      <c r="F329" s="1"/>
      <c r="G329" s="1"/>
      <c r="H329" s="1"/>
      <c r="I329" s="1"/>
      <c r="J329" s="1"/>
      <c r="K329" s="1"/>
      <c r="L329" s="1"/>
      <c r="M329" s="1"/>
      <c r="N329" s="1">
        <v>42251.25</v>
      </c>
      <c r="O329" s="1"/>
      <c r="P329" s="1"/>
      <c r="Q329" s="1"/>
      <c r="R329" s="1"/>
      <c r="S329" s="1">
        <v>42291.25</v>
      </c>
      <c r="T329" s="1"/>
      <c r="U329" s="1"/>
      <c r="V329" s="1">
        <v>42354.25</v>
      </c>
      <c r="W329" s="1"/>
      <c r="X329" s="1"/>
      <c r="Y329" s="1"/>
      <c r="Z329" s="1">
        <v>42384.25</v>
      </c>
      <c r="AA329" s="1"/>
      <c r="AB329" s="1"/>
      <c r="AC329" s="1">
        <v>42429.25</v>
      </c>
      <c r="AD329" s="1"/>
      <c r="AE329" s="1"/>
      <c r="AF329" s="1">
        <v>42453.208333333343</v>
      </c>
      <c r="AG329" s="1"/>
      <c r="AH329" s="1"/>
      <c r="AI329" s="1"/>
      <c r="AJ329" s="1"/>
      <c r="AK329" s="1"/>
      <c r="AL329" s="1"/>
      <c r="AM329" s="1"/>
      <c r="AN329" s="1"/>
      <c r="AO329" s="1"/>
      <c r="AP329" s="1"/>
      <c r="AQ329" s="1"/>
      <c r="AR329" s="1">
        <v>42633.25</v>
      </c>
      <c r="AS329" s="1">
        <v>42521.25</v>
      </c>
      <c r="AT329" s="1"/>
      <c r="AU329" s="1"/>
      <c r="AV329" s="1">
        <v>42628.25</v>
      </c>
      <c r="AW329" s="1"/>
      <c r="AX329" s="1"/>
      <c r="AY329" s="1"/>
      <c r="AZ329" s="1">
        <v>42633.25</v>
      </c>
      <c r="BA329" s="1"/>
      <c r="BB329" s="1"/>
      <c r="BC329" s="1"/>
      <c r="BD329" s="1"/>
      <c r="BE329" s="1"/>
      <c r="BF329" s="1"/>
      <c r="BG329" s="1"/>
      <c r="BH329" s="1"/>
      <c r="BI329" s="1"/>
      <c r="BJ329" s="1"/>
      <c r="BK329" s="1"/>
      <c r="BL329" s="1"/>
      <c r="BM329" s="1">
        <v>42633.25</v>
      </c>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row>
    <row r="330" spans="1:216" x14ac:dyDescent="0.3">
      <c r="A330" s="3" t="str">
        <f>HYPERLINK("https://hpr-rps.hres.ca/reg-content/summary-basis-decision-detailTwo.php?lang=en&amp;linkID=SBD00337", "Amitiza")</f>
        <v>Amitiza</v>
      </c>
      <c r="B330" s="1" t="s">
        <v>880</v>
      </c>
      <c r="C330" s="1" t="s">
        <v>881</v>
      </c>
      <c r="D330" s="1" t="s">
        <v>882</v>
      </c>
      <c r="E330" s="1">
        <v>39463.25</v>
      </c>
      <c r="F330" s="1"/>
      <c r="G330" s="1"/>
      <c r="H330" s="1">
        <v>41943.208333333343</v>
      </c>
      <c r="I330" s="1"/>
      <c r="J330" s="1"/>
      <c r="K330" s="1"/>
      <c r="L330" s="1"/>
      <c r="M330" s="1"/>
      <c r="N330" s="1"/>
      <c r="O330" s="1"/>
      <c r="P330" s="1"/>
      <c r="Q330" s="1"/>
      <c r="R330" s="1"/>
      <c r="S330" s="1"/>
      <c r="T330" s="1"/>
      <c r="U330" s="1"/>
      <c r="V330" s="1"/>
      <c r="W330" s="1"/>
      <c r="X330" s="1"/>
      <c r="Y330" s="1"/>
      <c r="Z330" s="1"/>
      <c r="AA330" s="1"/>
      <c r="AB330" s="1"/>
      <c r="AC330" s="1"/>
      <c r="AD330" s="1"/>
      <c r="AE330" s="1"/>
      <c r="AF330" s="1">
        <v>41996.25</v>
      </c>
      <c r="AG330" s="1"/>
      <c r="AH330" s="1"/>
      <c r="AI330" s="1"/>
      <c r="AJ330" s="1"/>
      <c r="AK330" s="1"/>
      <c r="AL330" s="1"/>
      <c r="AM330" s="1"/>
      <c r="AN330" s="1"/>
      <c r="AO330" s="1"/>
      <c r="AP330" s="1"/>
      <c r="AQ330" s="1"/>
      <c r="AR330" s="1">
        <v>42285.25</v>
      </c>
      <c r="AS330" s="1">
        <v>42264.25</v>
      </c>
      <c r="AT330" s="1"/>
      <c r="AU330" s="1"/>
      <c r="AV330" s="1">
        <v>42285.25</v>
      </c>
      <c r="AW330" s="1"/>
      <c r="AX330" s="1"/>
      <c r="AY330" s="1"/>
      <c r="AZ330" s="1">
        <v>42285.25</v>
      </c>
      <c r="BA330" s="1"/>
      <c r="BB330" s="1"/>
      <c r="BC330" s="1"/>
      <c r="BD330" s="1"/>
      <c r="BE330" s="1"/>
      <c r="BF330" s="1"/>
      <c r="BG330" s="1"/>
      <c r="BH330" s="1"/>
      <c r="BI330" s="1"/>
      <c r="BJ330" s="1"/>
      <c r="BK330" s="1"/>
      <c r="BL330" s="1"/>
      <c r="BM330" s="1">
        <v>42291.25</v>
      </c>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row>
    <row r="331" spans="1:216" x14ac:dyDescent="0.3">
      <c r="A331" s="3" t="str">
        <f>HYPERLINK("https://hpr-rps.hres.ca/reg-content/summary-basis-decision-detailTwo.php?lang=en&amp;linkID=SBD00338", "Lixiana")</f>
        <v>Lixiana</v>
      </c>
      <c r="B331" s="1" t="s">
        <v>883</v>
      </c>
      <c r="C331" s="1" t="s">
        <v>884</v>
      </c>
      <c r="D331" s="1" t="s">
        <v>885</v>
      </c>
      <c r="E331" s="1">
        <v>42130.25</v>
      </c>
      <c r="F331" s="1"/>
      <c r="G331" s="1"/>
      <c r="H331" s="1">
        <v>42250.25</v>
      </c>
      <c r="I331" s="1"/>
      <c r="J331" s="1"/>
      <c r="K331" s="1"/>
      <c r="L331" s="1"/>
      <c r="M331" s="1"/>
      <c r="N331" s="1"/>
      <c r="O331" s="1"/>
      <c r="P331" s="1"/>
      <c r="Q331" s="1"/>
      <c r="R331" s="1"/>
      <c r="S331" s="1"/>
      <c r="T331" s="1"/>
      <c r="U331" s="1"/>
      <c r="V331" s="1"/>
      <c r="W331" s="1"/>
      <c r="X331" s="1"/>
      <c r="Y331" s="1"/>
      <c r="Z331" s="1">
        <v>42293.25</v>
      </c>
      <c r="AA331" s="1"/>
      <c r="AB331" s="1"/>
      <c r="AC331" s="1">
        <v>42335.25</v>
      </c>
      <c r="AD331" s="1"/>
      <c r="AE331" s="1"/>
      <c r="AF331" s="1">
        <v>42348.25</v>
      </c>
      <c r="AG331" s="1"/>
      <c r="AH331" s="1"/>
      <c r="AI331" s="1"/>
      <c r="AJ331" s="1"/>
      <c r="AK331" s="1"/>
      <c r="AL331" s="1"/>
      <c r="AM331" s="1"/>
      <c r="AN331" s="1"/>
      <c r="AO331" s="1"/>
      <c r="AP331" s="1"/>
      <c r="AQ331" s="1"/>
      <c r="AR331" s="1">
        <v>42648.25</v>
      </c>
      <c r="AS331" s="1">
        <v>42647.25</v>
      </c>
      <c r="AT331" s="1"/>
      <c r="AU331" s="1"/>
      <c r="AV331" s="1">
        <v>42670.25</v>
      </c>
      <c r="AW331" s="1"/>
      <c r="AX331" s="1"/>
      <c r="AY331" s="1"/>
      <c r="AZ331" s="1">
        <v>42675.208333333343</v>
      </c>
      <c r="BA331" s="1"/>
      <c r="BB331" s="1"/>
      <c r="BC331" s="1"/>
      <c r="BD331" s="1"/>
      <c r="BE331" s="1"/>
      <c r="BF331" s="1"/>
      <c r="BG331" s="1"/>
      <c r="BH331" s="1"/>
      <c r="BI331" s="1"/>
      <c r="BJ331" s="1"/>
      <c r="BK331" s="1"/>
      <c r="BL331" s="1"/>
      <c r="BM331" s="1">
        <v>42678.208333333343</v>
      </c>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row>
    <row r="332" spans="1:216" x14ac:dyDescent="0.3">
      <c r="A332" s="3" t="str">
        <f>HYPERLINK("https://hpr-rps.hres.ca/reg-content/summary-basis-decision-detailTwo.php?lang=en&amp;linkID=SBD00339", "Venclexta")</f>
        <v>Venclexta</v>
      </c>
      <c r="B332" s="1" t="s">
        <v>886</v>
      </c>
      <c r="C332" s="1" t="s">
        <v>694</v>
      </c>
      <c r="D332" s="1" t="s">
        <v>887</v>
      </c>
      <c r="E332" s="1">
        <v>42292.25</v>
      </c>
      <c r="F332" s="1"/>
      <c r="G332" s="1"/>
      <c r="H332" s="1">
        <v>42356.25</v>
      </c>
      <c r="I332" s="1"/>
      <c r="J332" s="1"/>
      <c r="K332" s="1"/>
      <c r="L332" s="1"/>
      <c r="M332" s="1"/>
      <c r="N332" s="1"/>
      <c r="O332" s="1"/>
      <c r="P332" s="1"/>
      <c r="Q332" s="1"/>
      <c r="R332" s="1"/>
      <c r="S332" s="1"/>
      <c r="T332" s="1"/>
      <c r="U332" s="1"/>
      <c r="V332" s="1"/>
      <c r="W332" s="1"/>
      <c r="X332" s="1"/>
      <c r="Y332" s="1"/>
      <c r="Z332" s="1">
        <v>42391.25</v>
      </c>
      <c r="AA332" s="1"/>
      <c r="AB332" s="1"/>
      <c r="AC332" s="1">
        <v>42398.25</v>
      </c>
      <c r="AD332" s="1"/>
      <c r="AE332" s="1"/>
      <c r="AF332" s="1">
        <v>42403.25</v>
      </c>
      <c r="AG332" s="1"/>
      <c r="AH332" s="1"/>
      <c r="AI332" s="1"/>
      <c r="AJ332" s="1"/>
      <c r="AK332" s="1"/>
      <c r="AL332" s="1"/>
      <c r="AM332" s="1"/>
      <c r="AN332" s="1"/>
      <c r="AO332" s="1"/>
      <c r="AP332" s="1"/>
      <c r="AQ332" s="1"/>
      <c r="AR332" s="1">
        <v>42589.25</v>
      </c>
      <c r="AS332" s="1">
        <v>42522.25</v>
      </c>
      <c r="AT332" s="1"/>
      <c r="AU332" s="1"/>
      <c r="AV332" s="1">
        <v>42562.25</v>
      </c>
      <c r="AW332" s="1"/>
      <c r="AX332" s="1"/>
      <c r="AY332" s="1"/>
      <c r="AZ332" s="1">
        <v>42594.25</v>
      </c>
      <c r="BA332" s="1"/>
      <c r="BB332" s="1"/>
      <c r="BC332" s="1"/>
      <c r="BD332" s="1"/>
      <c r="BE332" s="1"/>
      <c r="BF332" s="1"/>
      <c r="BG332" s="1"/>
      <c r="BH332" s="1"/>
      <c r="BI332" s="1"/>
      <c r="BJ332" s="1"/>
      <c r="BK332" s="1">
        <v>42600.25</v>
      </c>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v>42639.25</v>
      </c>
      <c r="CN332" s="1"/>
      <c r="CO332" s="1"/>
      <c r="CP332" s="1"/>
      <c r="CQ332" s="1"/>
      <c r="CR332" s="1"/>
      <c r="CS332" s="1"/>
      <c r="CT332" s="1"/>
      <c r="CU332" s="1">
        <v>42640.25</v>
      </c>
      <c r="CV332" s="1"/>
      <c r="CW332" s="1"/>
      <c r="CX332" s="1"/>
      <c r="CY332" s="1"/>
      <c r="CZ332" s="1"/>
      <c r="DA332" s="1"/>
      <c r="DB332" s="1"/>
      <c r="DC332" s="1"/>
      <c r="DD332" s="1"/>
      <c r="DE332" s="1"/>
      <c r="DF332" s="1"/>
      <c r="DG332" s="1">
        <v>42643.25</v>
      </c>
      <c r="DH332" s="1"/>
      <c r="DI332" s="1"/>
      <c r="DJ332" s="1"/>
      <c r="DK332" s="1"/>
      <c r="DL332" s="1"/>
      <c r="DM332" s="1"/>
      <c r="DN332" s="1"/>
      <c r="DO332" s="1"/>
      <c r="DP332" s="1"/>
      <c r="DQ332" s="1"/>
      <c r="DR332" s="1"/>
      <c r="DS332" s="1"/>
      <c r="DT332" s="1">
        <v>42612.25</v>
      </c>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row>
    <row r="333" spans="1:216" x14ac:dyDescent="0.3">
      <c r="A333" s="3" t="str">
        <f>HYPERLINK("https://hpr-rps.hres.ca/reg-content/summary-basis-decision-detailTwo.php?lang=en&amp;linkID=SBD00340", "Adynovate")</f>
        <v>Adynovate</v>
      </c>
      <c r="B333" s="1" t="s">
        <v>888</v>
      </c>
      <c r="C333" s="1" t="s">
        <v>671</v>
      </c>
      <c r="D333" s="1" t="s">
        <v>889</v>
      </c>
      <c r="E333" s="1">
        <v>42152.25</v>
      </c>
      <c r="F333" s="1"/>
      <c r="G333" s="1"/>
      <c r="H333" s="1">
        <v>42340.25</v>
      </c>
      <c r="I333" s="1"/>
      <c r="J333" s="1"/>
      <c r="K333" s="1"/>
      <c r="L333" s="1"/>
      <c r="M333" s="1"/>
      <c r="N333" s="1"/>
      <c r="O333" s="1"/>
      <c r="P333" s="1"/>
      <c r="Q333" s="1"/>
      <c r="R333" s="1"/>
      <c r="S333" s="1"/>
      <c r="T333" s="1"/>
      <c r="U333" s="1"/>
      <c r="V333" s="1"/>
      <c r="W333" s="1"/>
      <c r="X333" s="1"/>
      <c r="Y333" s="1"/>
      <c r="Z333" s="1"/>
      <c r="AA333" s="1"/>
      <c r="AB333" s="1"/>
      <c r="AC333" s="1"/>
      <c r="AD333" s="1"/>
      <c r="AE333" s="1"/>
      <c r="AF333" s="1">
        <v>42391.25</v>
      </c>
      <c r="AG333" s="1"/>
      <c r="AH333" s="1"/>
      <c r="AI333" s="1"/>
      <c r="AJ333" s="1"/>
      <c r="AK333" s="1"/>
      <c r="AL333" s="1"/>
      <c r="AM333" s="1"/>
      <c r="AN333" s="1"/>
      <c r="AO333" s="1">
        <v>42597.25</v>
      </c>
      <c r="AP333" s="1"/>
      <c r="AQ333" s="1"/>
      <c r="AR333" s="1">
        <v>42690.25</v>
      </c>
      <c r="AS333" s="1"/>
      <c r="AT333" s="1"/>
      <c r="AU333" s="1"/>
      <c r="AV333" s="1">
        <v>42685.25</v>
      </c>
      <c r="AW333" s="1"/>
      <c r="AX333" s="1"/>
      <c r="AY333" s="1"/>
      <c r="AZ333" s="1">
        <v>42688.25</v>
      </c>
      <c r="BA333" s="1"/>
      <c r="BB333" s="1"/>
      <c r="BC333" s="1"/>
      <c r="BD333" s="1"/>
      <c r="BE333" s="1"/>
      <c r="BF333" s="1"/>
      <c r="BG333" s="1"/>
      <c r="BH333" s="1"/>
      <c r="BI333" s="1"/>
      <c r="BJ333" s="1"/>
      <c r="BK333" s="1"/>
      <c r="BL333" s="1"/>
      <c r="BM333" s="1">
        <v>42691.25</v>
      </c>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row>
    <row r="334" spans="1:216" x14ac:dyDescent="0.3">
      <c r="A334" s="3" t="str">
        <f>HYPERLINK("https://hpr-rps.hres.ca/reg-content/summary-basis-decision-detailTwo.php?lang=en&amp;linkID=SBD00341", "Dotarem")</f>
        <v>Dotarem</v>
      </c>
      <c r="B334" s="1" t="s">
        <v>890</v>
      </c>
      <c r="C334" s="1" t="s">
        <v>891</v>
      </c>
      <c r="D334" s="1" t="s">
        <v>892</v>
      </c>
      <c r="E334" s="1"/>
      <c r="F334" s="1"/>
      <c r="G334" s="1"/>
      <c r="H334" s="1">
        <v>42216.25</v>
      </c>
      <c r="I334" s="1"/>
      <c r="J334" s="1"/>
      <c r="K334" s="1"/>
      <c r="L334" s="1"/>
      <c r="M334" s="1"/>
      <c r="N334" s="1"/>
      <c r="O334" s="1"/>
      <c r="P334" s="1"/>
      <c r="Q334" s="1"/>
      <c r="R334" s="1"/>
      <c r="S334" s="1"/>
      <c r="T334" s="1"/>
      <c r="U334" s="1"/>
      <c r="V334" s="1"/>
      <c r="W334" s="1"/>
      <c r="X334" s="1"/>
      <c r="Y334" s="1"/>
      <c r="Z334" s="1">
        <v>42263.25</v>
      </c>
      <c r="AA334" s="1"/>
      <c r="AB334" s="1"/>
      <c r="AC334" s="1">
        <v>42312.25</v>
      </c>
      <c r="AD334" s="1"/>
      <c r="AE334" s="1"/>
      <c r="AF334" s="1">
        <v>42355.25</v>
      </c>
      <c r="AG334" s="1"/>
      <c r="AH334" s="1"/>
      <c r="AI334" s="1"/>
      <c r="AJ334" s="1"/>
      <c r="AK334" s="1"/>
      <c r="AL334" s="1"/>
      <c r="AM334" s="1"/>
      <c r="AN334" s="1"/>
      <c r="AO334" s="1"/>
      <c r="AP334" s="1"/>
      <c r="AQ334" s="1"/>
      <c r="AR334" s="1">
        <v>42698.25</v>
      </c>
      <c r="AS334" s="1"/>
      <c r="AT334" s="1"/>
      <c r="AU334" s="1"/>
      <c r="AV334" s="1">
        <v>42697.25</v>
      </c>
      <c r="AW334" s="1"/>
      <c r="AX334" s="1"/>
      <c r="AY334" s="1"/>
      <c r="AZ334" s="1">
        <v>42697.25</v>
      </c>
      <c r="BA334" s="1"/>
      <c r="BB334" s="1"/>
      <c r="BC334" s="1"/>
      <c r="BD334" s="1"/>
      <c r="BE334" s="1"/>
      <c r="BF334" s="1"/>
      <c r="BG334" s="1"/>
      <c r="BH334" s="1"/>
      <c r="BI334" s="1"/>
      <c r="BJ334" s="1"/>
      <c r="BK334" s="1"/>
      <c r="BL334" s="1"/>
      <c r="BM334" s="1">
        <v>42699.25</v>
      </c>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row>
    <row r="335" spans="1:216" x14ac:dyDescent="0.3">
      <c r="A335" s="3" t="str">
        <f>HYPERLINK("https://hpr-rps.hres.ca/reg-content/summary-basis-decision-detailTwo.php?lang=en&amp;linkID=SBD00342", "Zinbryta")</f>
        <v>Zinbryta</v>
      </c>
      <c r="B335" s="1" t="s">
        <v>893</v>
      </c>
      <c r="C335" s="1" t="s">
        <v>674</v>
      </c>
      <c r="D335" s="1" t="s">
        <v>894</v>
      </c>
      <c r="E335" s="1">
        <v>42151.25</v>
      </c>
      <c r="F335" s="1"/>
      <c r="G335" s="1"/>
      <c r="H335" s="1">
        <v>42359.25</v>
      </c>
      <c r="I335" s="1"/>
      <c r="J335" s="1"/>
      <c r="K335" s="1"/>
      <c r="L335" s="1"/>
      <c r="M335" s="1"/>
      <c r="N335" s="1"/>
      <c r="O335" s="1"/>
      <c r="P335" s="1"/>
      <c r="Q335" s="1"/>
      <c r="R335" s="1"/>
      <c r="S335" s="1"/>
      <c r="T335" s="1"/>
      <c r="U335" s="1"/>
      <c r="V335" s="1"/>
      <c r="W335" s="1"/>
      <c r="X335" s="1"/>
      <c r="Y335" s="1"/>
      <c r="Z335" s="1"/>
      <c r="AA335" s="1"/>
      <c r="AB335" s="1"/>
      <c r="AC335" s="1"/>
      <c r="AD335" s="1"/>
      <c r="AE335" s="1"/>
      <c r="AF335" s="1">
        <v>42412.25</v>
      </c>
      <c r="AG335" s="1"/>
      <c r="AH335" s="1"/>
      <c r="AI335" s="1"/>
      <c r="AJ335" s="1"/>
      <c r="AK335" s="1"/>
      <c r="AL335" s="1"/>
      <c r="AM335" s="1"/>
      <c r="AN335" s="1"/>
      <c r="AO335" s="1"/>
      <c r="AP335" s="1"/>
      <c r="AQ335" s="1"/>
      <c r="AR335" s="1">
        <v>42711.25</v>
      </c>
      <c r="AS335" s="1"/>
      <c r="AT335" s="1"/>
      <c r="AU335" s="1"/>
      <c r="AV335" s="1">
        <v>42710.25</v>
      </c>
      <c r="AW335" s="1"/>
      <c r="AX335" s="1"/>
      <c r="AY335" s="1"/>
      <c r="AZ335" s="1">
        <v>42711.25</v>
      </c>
      <c r="BA335" s="1"/>
      <c r="BB335" s="1"/>
      <c r="BC335" s="1"/>
      <c r="BD335" s="1"/>
      <c r="BE335" s="1"/>
      <c r="BF335" s="1"/>
      <c r="BG335" s="1"/>
      <c r="BH335" s="1"/>
      <c r="BI335" s="1"/>
      <c r="BJ335" s="1"/>
      <c r="BK335" s="1"/>
      <c r="BL335" s="1"/>
      <c r="BM335" s="1">
        <v>42712.25</v>
      </c>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row>
    <row r="336" spans="1:216" x14ac:dyDescent="0.3">
      <c r="A336" s="3" t="str">
        <f>HYPERLINK("https://hpr-rps.hres.ca/reg-content/summary-basis-decision-detailTwo.php?lang=en&amp;linkID=SBD00344", "Orfadin")</f>
        <v>Orfadin</v>
      </c>
      <c r="B336" s="1" t="s">
        <v>877</v>
      </c>
      <c r="C336" s="1" t="s">
        <v>895</v>
      </c>
      <c r="D336" s="1" t="s">
        <v>896</v>
      </c>
      <c r="E336" s="1">
        <v>42156.25</v>
      </c>
      <c r="F336" s="1"/>
      <c r="G336" s="1"/>
      <c r="H336" s="1"/>
      <c r="I336" s="1"/>
      <c r="J336" s="1"/>
      <c r="K336" s="1"/>
      <c r="L336" s="1"/>
      <c r="M336" s="1"/>
      <c r="N336" s="1">
        <v>42354.25</v>
      </c>
      <c r="O336" s="1"/>
      <c r="P336" s="1"/>
      <c r="Q336" s="1"/>
      <c r="R336" s="1"/>
      <c r="S336" s="1">
        <v>42384.25</v>
      </c>
      <c r="T336" s="1"/>
      <c r="U336" s="1"/>
      <c r="V336" s="1">
        <v>42459.25</v>
      </c>
      <c r="W336" s="1"/>
      <c r="X336" s="1"/>
      <c r="Y336" s="1"/>
      <c r="Z336" s="1">
        <v>42489.25</v>
      </c>
      <c r="AA336" s="1"/>
      <c r="AB336" s="1"/>
      <c r="AC336" s="1">
        <v>42531.25</v>
      </c>
      <c r="AD336" s="1"/>
      <c r="AE336" s="1"/>
      <c r="AF336" s="1">
        <v>42559.25</v>
      </c>
      <c r="AG336" s="1"/>
      <c r="AH336" s="1"/>
      <c r="AI336" s="1"/>
      <c r="AJ336" s="1"/>
      <c r="AK336" s="1"/>
      <c r="AL336" s="1"/>
      <c r="AM336" s="1"/>
      <c r="AN336" s="1"/>
      <c r="AO336" s="1"/>
      <c r="AP336" s="1"/>
      <c r="AQ336" s="1"/>
      <c r="AR336" s="1">
        <v>42713.25</v>
      </c>
      <c r="AS336" s="1">
        <v>42612.25</v>
      </c>
      <c r="AT336" s="1"/>
      <c r="AU336" s="1"/>
      <c r="AV336" s="1">
        <v>42704.25</v>
      </c>
      <c r="AW336" s="1"/>
      <c r="AX336" s="1"/>
      <c r="AY336" s="1"/>
      <c r="AZ336" s="1">
        <v>42717.25</v>
      </c>
      <c r="BA336" s="1"/>
      <c r="BB336" s="1"/>
      <c r="BC336" s="1"/>
      <c r="BD336" s="1"/>
      <c r="BE336" s="1"/>
      <c r="BF336" s="1"/>
      <c r="BG336" s="1"/>
      <c r="BH336" s="1"/>
      <c r="BI336" s="1"/>
      <c r="BJ336" s="1"/>
      <c r="BK336" s="1"/>
      <c r="BL336" s="1"/>
      <c r="BM336" s="1">
        <v>42717.25</v>
      </c>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row>
    <row r="337" spans="1:216" x14ac:dyDescent="0.3">
      <c r="A337" s="3" t="str">
        <f>HYPERLINK("https://hpr-rps.hres.ca/reg-content/summary-basis-decision-detailTwo.php?lang=en&amp;linkID=SBD00345", "Nitisinone Tablets")</f>
        <v>Nitisinone Tablets</v>
      </c>
      <c r="B337" s="1" t="s">
        <v>877</v>
      </c>
      <c r="C337" s="1" t="s">
        <v>897</v>
      </c>
      <c r="D337" s="1" t="s">
        <v>898</v>
      </c>
      <c r="E337" s="1">
        <v>41799.25</v>
      </c>
      <c r="F337" s="1"/>
      <c r="G337" s="1"/>
      <c r="H337" s="1"/>
      <c r="I337" s="1"/>
      <c r="J337" s="1"/>
      <c r="K337" s="1"/>
      <c r="L337" s="1"/>
      <c r="M337" s="1"/>
      <c r="N337" s="1">
        <v>42409.25</v>
      </c>
      <c r="O337" s="1"/>
      <c r="P337" s="1"/>
      <c r="Q337" s="1"/>
      <c r="R337" s="1"/>
      <c r="S337" s="1">
        <v>42433.25</v>
      </c>
      <c r="T337" s="1"/>
      <c r="U337" s="1"/>
      <c r="V337" s="1">
        <v>42460.25</v>
      </c>
      <c r="W337" s="1"/>
      <c r="X337" s="1"/>
      <c r="Y337" s="1"/>
      <c r="Z337" s="1"/>
      <c r="AA337" s="1"/>
      <c r="AB337" s="1"/>
      <c r="AC337" s="1"/>
      <c r="AD337" s="1"/>
      <c r="AE337" s="1"/>
      <c r="AF337" s="1">
        <v>42499.25</v>
      </c>
      <c r="AG337" s="1"/>
      <c r="AH337" s="1"/>
      <c r="AI337" s="1"/>
      <c r="AJ337" s="1"/>
      <c r="AK337" s="1"/>
      <c r="AL337" s="1"/>
      <c r="AM337" s="1"/>
      <c r="AN337" s="1"/>
      <c r="AO337" s="1"/>
      <c r="AP337" s="1"/>
      <c r="AQ337" s="1"/>
      <c r="AR337" s="1">
        <v>42677.208333333343</v>
      </c>
      <c r="AS337" s="1">
        <v>42572.25</v>
      </c>
      <c r="AT337" s="1"/>
      <c r="AU337" s="1"/>
      <c r="AV337" s="1">
        <v>42674.208333333343</v>
      </c>
      <c r="AW337" s="1"/>
      <c r="AX337" s="1"/>
      <c r="AY337" s="1"/>
      <c r="AZ337" s="1">
        <v>42677.208333333343</v>
      </c>
      <c r="BA337" s="1"/>
      <c r="BB337" s="1"/>
      <c r="BC337" s="1"/>
      <c r="BD337" s="1"/>
      <c r="BE337" s="1"/>
      <c r="BF337" s="1"/>
      <c r="BG337" s="1"/>
      <c r="BH337" s="1"/>
      <c r="BI337" s="1"/>
      <c r="BJ337" s="1"/>
      <c r="BK337" s="1"/>
      <c r="BL337" s="1"/>
      <c r="BM337" s="1">
        <v>42678.208333333343</v>
      </c>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row>
    <row r="338" spans="1:216" x14ac:dyDescent="0.3">
      <c r="A338" s="3" t="str">
        <f>HYPERLINK("https://hpr-rps.hres.ca/reg-content/summary-basis-decision-detailTwo.php?lang=en&amp;linkID=SBD00346", "Viberzi")</f>
        <v>Viberzi</v>
      </c>
      <c r="B338" s="1" t="s">
        <v>899</v>
      </c>
      <c r="C338" s="1" t="s">
        <v>900</v>
      </c>
      <c r="D338" s="1" t="s">
        <v>901</v>
      </c>
      <c r="E338" s="1">
        <v>42171.25</v>
      </c>
      <c r="F338" s="1"/>
      <c r="G338" s="1"/>
      <c r="H338" s="1">
        <v>42349.25</v>
      </c>
      <c r="I338" s="1"/>
      <c r="J338" s="1"/>
      <c r="K338" s="1"/>
      <c r="L338" s="1"/>
      <c r="M338" s="1"/>
      <c r="N338" s="1"/>
      <c r="O338" s="1"/>
      <c r="P338" s="1"/>
      <c r="Q338" s="1"/>
      <c r="R338" s="1"/>
      <c r="S338" s="1"/>
      <c r="T338" s="1"/>
      <c r="U338" s="1"/>
      <c r="V338" s="1"/>
      <c r="W338" s="1"/>
      <c r="X338" s="1"/>
      <c r="Y338" s="1"/>
      <c r="Z338" s="1">
        <v>42397.25</v>
      </c>
      <c r="AA338" s="1"/>
      <c r="AB338" s="1"/>
      <c r="AC338" s="1">
        <v>42412.25</v>
      </c>
      <c r="AD338" s="1"/>
      <c r="AE338" s="1"/>
      <c r="AF338" s="1">
        <v>42461.25</v>
      </c>
      <c r="AG338" s="1"/>
      <c r="AH338" s="1"/>
      <c r="AI338" s="1"/>
      <c r="AJ338" s="1"/>
      <c r="AK338" s="1"/>
      <c r="AL338" s="1"/>
      <c r="AM338" s="1"/>
      <c r="AN338" s="1"/>
      <c r="AO338" s="1"/>
      <c r="AP338" s="1"/>
      <c r="AQ338" s="1"/>
      <c r="AR338" s="1">
        <v>42759.25</v>
      </c>
      <c r="AS338" s="1">
        <v>42758.25</v>
      </c>
      <c r="AT338" s="1"/>
      <c r="AU338" s="1"/>
      <c r="AV338" s="1">
        <v>42751.25</v>
      </c>
      <c r="AW338" s="1"/>
      <c r="AX338" s="1"/>
      <c r="AY338" s="1"/>
      <c r="AZ338" s="1">
        <v>42760.25</v>
      </c>
      <c r="BA338" s="1"/>
      <c r="BB338" s="1"/>
      <c r="BC338" s="1"/>
      <c r="BD338" s="1"/>
      <c r="BE338" s="1"/>
      <c r="BF338" s="1"/>
      <c r="BG338" s="1"/>
      <c r="BH338" s="1"/>
      <c r="BI338" s="1"/>
      <c r="BJ338" s="1"/>
      <c r="BK338" s="1"/>
      <c r="BL338" s="1"/>
      <c r="BM338" s="1">
        <v>42761.25</v>
      </c>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row>
    <row r="339" spans="1:216" x14ac:dyDescent="0.3">
      <c r="A339" s="3" t="str">
        <f>HYPERLINK("https://hpr-rps.hres.ca/reg-content/summary-basis-decision-detailTwo.php?lang=en&amp;linkID=SBD00347", "Kevzara")</f>
        <v>Kevzara</v>
      </c>
      <c r="B339" s="1" t="s">
        <v>902</v>
      </c>
      <c r="C339" s="1" t="s">
        <v>754</v>
      </c>
      <c r="D339" s="1" t="s">
        <v>903</v>
      </c>
      <c r="E339" s="1"/>
      <c r="F339" s="1"/>
      <c r="G339" s="1"/>
      <c r="H339" s="1">
        <v>42398.25</v>
      </c>
      <c r="I339" s="1"/>
      <c r="J339" s="1"/>
      <c r="K339" s="1"/>
      <c r="L339" s="1"/>
      <c r="M339" s="1"/>
      <c r="N339" s="1"/>
      <c r="O339" s="1"/>
      <c r="P339" s="1"/>
      <c r="Q339" s="1"/>
      <c r="R339" s="1"/>
      <c r="S339" s="1"/>
      <c r="T339" s="1"/>
      <c r="U339" s="1"/>
      <c r="V339" s="1"/>
      <c r="W339" s="1"/>
      <c r="X339" s="1"/>
      <c r="Y339" s="1"/>
      <c r="Z339" s="1"/>
      <c r="AA339" s="1"/>
      <c r="AB339" s="1"/>
      <c r="AC339" s="1"/>
      <c r="AD339" s="1"/>
      <c r="AE339" s="1"/>
      <c r="AF339" s="1">
        <v>42447.208333333343</v>
      </c>
      <c r="AG339" s="1"/>
      <c r="AH339" s="1"/>
      <c r="AI339" s="1"/>
      <c r="AJ339" s="1"/>
      <c r="AK339" s="1"/>
      <c r="AL339" s="1"/>
      <c r="AM339" s="1"/>
      <c r="AN339" s="1"/>
      <c r="AO339" s="1"/>
      <c r="AP339" s="1"/>
      <c r="AQ339" s="1"/>
      <c r="AR339" s="1">
        <v>42746.25</v>
      </c>
      <c r="AS339" s="1"/>
      <c r="AT339" s="1"/>
      <c r="AU339" s="1"/>
      <c r="AV339" s="1">
        <v>42718.25</v>
      </c>
      <c r="AW339" s="1"/>
      <c r="AX339" s="1">
        <v>42746.25</v>
      </c>
      <c r="AY339" s="1"/>
      <c r="AZ339" s="1">
        <v>42747.25</v>
      </c>
      <c r="BA339" s="1"/>
      <c r="BB339" s="1"/>
      <c r="BC339" s="1"/>
      <c r="BD339" s="1"/>
      <c r="BE339" s="1"/>
      <c r="BF339" s="1"/>
      <c r="BG339" s="1"/>
      <c r="BH339" s="1"/>
      <c r="BI339" s="1"/>
      <c r="BJ339" s="1"/>
      <c r="BK339" s="1"/>
      <c r="BL339" s="1"/>
      <c r="BM339" s="1">
        <v>42747.25</v>
      </c>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row>
    <row r="340" spans="1:216" x14ac:dyDescent="0.3">
      <c r="A340" s="3" t="str">
        <f>HYPERLINK("https://hpr-rps.hres.ca/reg-content/summary-basis-decision-detailTwo.php?lang=en&amp;linkID=SBD00348", "Lancora")</f>
        <v>Lancora</v>
      </c>
      <c r="B340" s="1" t="s">
        <v>904</v>
      </c>
      <c r="C340" s="1" t="s">
        <v>177</v>
      </c>
      <c r="D340" s="1" t="s">
        <v>905</v>
      </c>
      <c r="E340" s="1">
        <v>41086.25</v>
      </c>
      <c r="F340" s="1"/>
      <c r="G340" s="1"/>
      <c r="H340" s="1"/>
      <c r="I340" s="1"/>
      <c r="J340" s="1"/>
      <c r="K340" s="1"/>
      <c r="L340" s="1"/>
      <c r="M340" s="1"/>
      <c r="N340" s="1"/>
      <c r="O340" s="1"/>
      <c r="P340" s="1"/>
      <c r="Q340" s="1"/>
      <c r="R340" s="1"/>
      <c r="S340" s="1"/>
      <c r="T340" s="1"/>
      <c r="U340" s="1"/>
      <c r="V340" s="1"/>
      <c r="W340" s="1"/>
      <c r="X340" s="1"/>
      <c r="Y340" s="1"/>
      <c r="Z340" s="1">
        <v>41557.25</v>
      </c>
      <c r="AA340" s="1"/>
      <c r="AB340" s="1"/>
      <c r="AC340" s="1">
        <v>41563.25</v>
      </c>
      <c r="AD340" s="1"/>
      <c r="AE340" s="1"/>
      <c r="AF340" s="1"/>
      <c r="AG340" s="1"/>
      <c r="AH340" s="1"/>
      <c r="AI340" s="1"/>
      <c r="AJ340" s="1"/>
      <c r="AK340" s="1"/>
      <c r="AL340" s="1">
        <v>41509.25</v>
      </c>
      <c r="AM340" s="1"/>
      <c r="AN340" s="1"/>
      <c r="AO340" s="1"/>
      <c r="AP340" s="1"/>
      <c r="AQ340" s="1"/>
      <c r="AR340" s="1"/>
      <c r="AS340" s="1">
        <v>41815.25</v>
      </c>
      <c r="AT340" s="1"/>
      <c r="AU340" s="1"/>
      <c r="AV340" s="1">
        <v>41809.25</v>
      </c>
      <c r="AW340" s="1"/>
      <c r="AX340" s="1"/>
      <c r="AY340" s="1"/>
      <c r="AZ340" s="1">
        <v>41877.25</v>
      </c>
      <c r="BA340" s="1"/>
      <c r="BB340" s="1"/>
      <c r="BC340" s="1"/>
      <c r="BD340" s="1"/>
      <c r="BE340" s="1"/>
      <c r="BF340" s="1"/>
      <c r="BG340" s="1"/>
      <c r="BH340" s="1"/>
      <c r="BI340" s="1"/>
      <c r="BJ340" s="1"/>
      <c r="BK340" s="1"/>
      <c r="BL340" s="1"/>
      <c r="BM340" s="1"/>
      <c r="BN340" s="1"/>
      <c r="BO340" s="1"/>
      <c r="BP340" s="1">
        <v>41877.25</v>
      </c>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v>41964.25</v>
      </c>
      <c r="CP340" s="1"/>
      <c r="CQ340" s="1"/>
      <c r="CR340" s="1">
        <v>42012.25</v>
      </c>
      <c r="CS340" s="1"/>
      <c r="CT340" s="1"/>
      <c r="CU340" s="1"/>
      <c r="CV340" s="1"/>
      <c r="CW340" s="1"/>
      <c r="CX340" s="1"/>
      <c r="CY340" s="1"/>
      <c r="CZ340" s="1"/>
      <c r="DA340" s="1"/>
      <c r="DB340" s="1"/>
      <c r="DC340" s="1"/>
      <c r="DD340" s="1"/>
      <c r="DE340" s="1"/>
      <c r="DF340" s="1"/>
      <c r="DG340" s="1"/>
      <c r="DH340" s="1"/>
      <c r="DI340" s="1"/>
      <c r="DJ340" s="1"/>
      <c r="DK340" s="1"/>
      <c r="DL340" s="1">
        <v>42310.25</v>
      </c>
      <c r="DM340" s="1"/>
      <c r="DN340" s="1"/>
      <c r="DO340" s="1"/>
      <c r="DP340" s="1"/>
      <c r="DQ340" s="1"/>
      <c r="DR340" s="1"/>
      <c r="DS340" s="1"/>
      <c r="DT340" s="1"/>
      <c r="DU340" s="1"/>
      <c r="DV340" s="1"/>
      <c r="DW340" s="1"/>
      <c r="DX340" s="1"/>
      <c r="DY340" s="1"/>
      <c r="DZ340" s="1"/>
      <c r="EA340" s="1">
        <v>42312.25</v>
      </c>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v>42720.25</v>
      </c>
      <c r="EZ340" s="1"/>
      <c r="FA340" s="1"/>
      <c r="FB340" s="1"/>
      <c r="FC340" s="1"/>
      <c r="FD340" s="1"/>
      <c r="FE340" s="1"/>
      <c r="FF340" s="1"/>
      <c r="FG340" s="1">
        <v>42723.25</v>
      </c>
      <c r="FH340" s="1"/>
      <c r="FI340" s="1"/>
      <c r="FJ340" s="1"/>
      <c r="FK340" s="1"/>
      <c r="FL340" s="1"/>
      <c r="FM340" s="1"/>
      <c r="FN340" s="1"/>
      <c r="FO340" s="1"/>
      <c r="FP340" s="1"/>
      <c r="FQ340" s="1"/>
      <c r="FR340" s="1"/>
      <c r="FS340" s="1"/>
      <c r="FT340" s="1">
        <v>42727.25</v>
      </c>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row>
    <row r="341" spans="1:216" x14ac:dyDescent="0.3">
      <c r="A341" s="3" t="str">
        <f>HYPERLINK("https://hpr-rps.hres.ca/reg-content/summary-basis-decision-detailTwo.php?lang=en&amp;linkID=SBD00349", "Rapivab")</f>
        <v>Rapivab</v>
      </c>
      <c r="B341" s="1" t="s">
        <v>906</v>
      </c>
      <c r="C341" s="1" t="s">
        <v>907</v>
      </c>
      <c r="D341" s="1" t="s">
        <v>908</v>
      </c>
      <c r="E341" s="1">
        <v>42263.25</v>
      </c>
      <c r="F341" s="1"/>
      <c r="G341" s="1"/>
      <c r="H341" s="1">
        <v>42394.25</v>
      </c>
      <c r="I341" s="1"/>
      <c r="J341" s="1"/>
      <c r="K341" s="1"/>
      <c r="L341" s="1"/>
      <c r="M341" s="1"/>
      <c r="N341" s="1"/>
      <c r="O341" s="1"/>
      <c r="P341" s="1"/>
      <c r="Q341" s="1"/>
      <c r="R341" s="1"/>
      <c r="S341" s="1"/>
      <c r="T341" s="1"/>
      <c r="U341" s="1"/>
      <c r="V341" s="1"/>
      <c r="W341" s="1"/>
      <c r="X341" s="1"/>
      <c r="Y341" s="1"/>
      <c r="Z341" s="1"/>
      <c r="AA341" s="1"/>
      <c r="AB341" s="1"/>
      <c r="AC341" s="1"/>
      <c r="AD341" s="1"/>
      <c r="AE341" s="1"/>
      <c r="AF341" s="1">
        <v>42440.25</v>
      </c>
      <c r="AG341" s="1"/>
      <c r="AH341" s="1"/>
      <c r="AI341" s="1"/>
      <c r="AJ341" s="1"/>
      <c r="AK341" s="1"/>
      <c r="AL341" s="1"/>
      <c r="AM341" s="1"/>
      <c r="AN341" s="1"/>
      <c r="AO341" s="1"/>
      <c r="AP341" s="1"/>
      <c r="AQ341" s="1"/>
      <c r="AR341" s="1">
        <v>42738.25</v>
      </c>
      <c r="AS341" s="1"/>
      <c r="AT341" s="1"/>
      <c r="AU341" s="1"/>
      <c r="AV341" s="1">
        <v>42733.25</v>
      </c>
      <c r="AW341" s="1"/>
      <c r="AX341" s="1"/>
      <c r="AY341" s="1"/>
      <c r="AZ341" s="1">
        <v>42719.25</v>
      </c>
      <c r="BA341" s="1"/>
      <c r="BB341" s="1"/>
      <c r="BC341" s="1"/>
      <c r="BD341" s="1"/>
      <c r="BE341" s="1"/>
      <c r="BF341" s="1"/>
      <c r="BG341" s="1"/>
      <c r="BH341" s="1"/>
      <c r="BI341" s="1"/>
      <c r="BJ341" s="1"/>
      <c r="BK341" s="1"/>
      <c r="BL341" s="1"/>
      <c r="BM341" s="1">
        <v>42740.25</v>
      </c>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row>
    <row r="342" spans="1:216" x14ac:dyDescent="0.3">
      <c r="A342" s="3" t="str">
        <f>HYPERLINK("https://hpr-rps.hres.ca/reg-content/summary-basis-decision-detailTwo.php?lang=en&amp;linkID=SBD00351", "BAT")</f>
        <v>BAT</v>
      </c>
      <c r="B342" s="1" t="s">
        <v>909</v>
      </c>
      <c r="C342" s="1" t="s">
        <v>910</v>
      </c>
      <c r="D342" s="1" t="s">
        <v>911</v>
      </c>
      <c r="E342" s="1">
        <v>42276.25</v>
      </c>
      <c r="F342" s="1"/>
      <c r="G342" s="1"/>
      <c r="H342" s="1">
        <v>42360.25</v>
      </c>
      <c r="I342" s="1"/>
      <c r="J342" s="1"/>
      <c r="K342" s="1"/>
      <c r="L342" s="1"/>
      <c r="M342" s="1"/>
      <c r="N342" s="1"/>
      <c r="O342" s="1"/>
      <c r="P342" s="1"/>
      <c r="Q342" s="1"/>
      <c r="R342" s="1"/>
      <c r="S342" s="1"/>
      <c r="T342" s="1"/>
      <c r="U342" s="1"/>
      <c r="V342" s="1"/>
      <c r="W342" s="1"/>
      <c r="X342" s="1"/>
      <c r="Y342" s="1"/>
      <c r="Z342" s="1"/>
      <c r="AA342" s="1"/>
      <c r="AB342" s="1"/>
      <c r="AC342" s="1"/>
      <c r="AD342" s="1"/>
      <c r="AE342" s="1"/>
      <c r="AF342" s="1">
        <v>42412.25</v>
      </c>
      <c r="AG342" s="1"/>
      <c r="AH342" s="1"/>
      <c r="AI342" s="1"/>
      <c r="AJ342" s="1"/>
      <c r="AK342" s="1"/>
      <c r="AL342" s="1"/>
      <c r="AM342" s="1"/>
      <c r="AN342" s="1"/>
      <c r="AO342" s="1"/>
      <c r="AP342" s="1"/>
      <c r="AQ342" s="1">
        <v>42619.25</v>
      </c>
      <c r="AR342" s="1">
        <v>42711.25</v>
      </c>
      <c r="AS342" s="1"/>
      <c r="AT342" s="1"/>
      <c r="AU342" s="1"/>
      <c r="AV342" s="1">
        <v>42710.25</v>
      </c>
      <c r="AW342" s="1"/>
      <c r="AX342" s="1"/>
      <c r="AY342" s="1"/>
      <c r="AZ342" s="1">
        <v>42681.25</v>
      </c>
      <c r="BA342" s="1"/>
      <c r="BB342" s="1"/>
      <c r="BC342" s="1"/>
      <c r="BD342" s="1"/>
      <c r="BE342" s="1"/>
      <c r="BF342" s="1"/>
      <c r="BG342" s="1"/>
      <c r="BH342" s="1"/>
      <c r="BI342" s="1"/>
      <c r="BJ342" s="1"/>
      <c r="BK342" s="1"/>
      <c r="BL342" s="1"/>
      <c r="BM342" s="1">
        <v>42712.25</v>
      </c>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row>
    <row r="343" spans="1:216" x14ac:dyDescent="0.3">
      <c r="A343" s="3" t="str">
        <f>HYPERLINK("https://hpr-rps.hres.ca/reg-content/summary-basis-decision-detailTwo.php?lang=en&amp;linkID=SBD00352", "NeuraCeq")</f>
        <v>NeuraCeq</v>
      </c>
      <c r="B343" s="1" t="s">
        <v>912</v>
      </c>
      <c r="C343" s="1" t="s">
        <v>913</v>
      </c>
      <c r="D343" s="1" t="s">
        <v>914</v>
      </c>
      <c r="E343" s="1"/>
      <c r="F343" s="1"/>
      <c r="G343" s="1"/>
      <c r="H343" s="1"/>
      <c r="I343" s="1"/>
      <c r="J343" s="1"/>
      <c r="K343" s="1"/>
      <c r="L343" s="1"/>
      <c r="M343" s="1"/>
      <c r="N343" s="1">
        <v>42383.25</v>
      </c>
      <c r="O343" s="1"/>
      <c r="P343" s="1"/>
      <c r="Q343" s="1"/>
      <c r="R343" s="1"/>
      <c r="S343" s="1"/>
      <c r="T343" s="1">
        <v>42405.25</v>
      </c>
      <c r="U343" s="1"/>
      <c r="V343" s="1">
        <v>42426.25</v>
      </c>
      <c r="W343" s="1"/>
      <c r="X343" s="1"/>
      <c r="Y343" s="1"/>
      <c r="Z343" s="1"/>
      <c r="AA343" s="1"/>
      <c r="AB343" s="1"/>
      <c r="AC343" s="1"/>
      <c r="AD343" s="1"/>
      <c r="AE343" s="1"/>
      <c r="AF343" s="1">
        <v>42489.25</v>
      </c>
      <c r="AG343" s="1"/>
      <c r="AH343" s="1"/>
      <c r="AI343" s="1"/>
      <c r="AJ343" s="1"/>
      <c r="AK343" s="1"/>
      <c r="AL343" s="1"/>
      <c r="AM343" s="1"/>
      <c r="AN343" s="1"/>
      <c r="AO343" s="1"/>
      <c r="AP343" s="1"/>
      <c r="AQ343" s="1"/>
      <c r="AR343" s="1">
        <v>42782.25</v>
      </c>
      <c r="AS343" s="1"/>
      <c r="AT343" s="1"/>
      <c r="AU343" s="1"/>
      <c r="AV343" s="1">
        <v>42786.25</v>
      </c>
      <c r="AW343" s="1"/>
      <c r="AX343" s="1"/>
      <c r="AY343" s="1"/>
      <c r="AZ343" s="1">
        <v>42786.25</v>
      </c>
      <c r="BA343" s="1"/>
      <c r="BB343" s="1"/>
      <c r="BC343" s="1"/>
      <c r="BD343" s="1"/>
      <c r="BE343" s="1"/>
      <c r="BF343" s="1"/>
      <c r="BG343" s="1"/>
      <c r="BH343" s="1"/>
      <c r="BI343" s="1"/>
      <c r="BJ343" s="1"/>
      <c r="BK343" s="1"/>
      <c r="BL343" s="1"/>
      <c r="BM343" s="1">
        <v>42788.25</v>
      </c>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row>
    <row r="344" spans="1:216" x14ac:dyDescent="0.3">
      <c r="A344" s="3" t="str">
        <f>HYPERLINK("https://hpr-rps.hres.ca/reg-content/summary-basis-decision-detailTwo.php?lang=en&amp;linkID=SBD00353", "Rexulti")</f>
        <v>Rexulti</v>
      </c>
      <c r="B344" s="1" t="s">
        <v>915</v>
      </c>
      <c r="C344" s="1" t="s">
        <v>916</v>
      </c>
      <c r="D344" s="1" t="s">
        <v>917</v>
      </c>
      <c r="E344" s="1">
        <v>42291.25</v>
      </c>
      <c r="F344" s="1"/>
      <c r="G344" s="1"/>
      <c r="H344" s="1">
        <v>42426.25</v>
      </c>
      <c r="I344" s="1"/>
      <c r="J344" s="1"/>
      <c r="K344" s="1"/>
      <c r="L344" s="1"/>
      <c r="M344" s="1"/>
      <c r="N344" s="1"/>
      <c r="O344" s="1"/>
      <c r="P344" s="1"/>
      <c r="Q344" s="1"/>
      <c r="R344" s="1"/>
      <c r="S344" s="1"/>
      <c r="T344" s="1"/>
      <c r="U344" s="1"/>
      <c r="V344" s="1"/>
      <c r="W344" s="1"/>
      <c r="X344" s="1"/>
      <c r="Y344" s="1"/>
      <c r="Z344" s="1"/>
      <c r="AA344" s="1"/>
      <c r="AB344" s="1"/>
      <c r="AC344" s="1"/>
      <c r="AD344" s="1"/>
      <c r="AE344" s="1"/>
      <c r="AF344" s="1">
        <v>42482.25</v>
      </c>
      <c r="AG344" s="1"/>
      <c r="AH344" s="1"/>
      <c r="AI344" s="1"/>
      <c r="AJ344" s="1"/>
      <c r="AK344" s="1"/>
      <c r="AL344" s="1"/>
      <c r="AM344" s="1"/>
      <c r="AN344" s="1"/>
      <c r="AO344" s="1"/>
      <c r="AP344" s="1"/>
      <c r="AQ344" s="1">
        <v>42781.25</v>
      </c>
      <c r="AR344" s="1">
        <v>42781.25</v>
      </c>
      <c r="AS344" s="1"/>
      <c r="AT344" s="1"/>
      <c r="AU344" s="1"/>
      <c r="AV344" s="1">
        <v>42774.25</v>
      </c>
      <c r="AW344" s="1"/>
      <c r="AX344" s="1"/>
      <c r="AY344" s="1"/>
      <c r="AZ344" s="1">
        <v>42781.25</v>
      </c>
      <c r="BA344" s="1"/>
      <c r="BB344" s="1"/>
      <c r="BC344" s="1"/>
      <c r="BD344" s="1"/>
      <c r="BE344" s="1"/>
      <c r="BF344" s="1"/>
      <c r="BG344" s="1"/>
      <c r="BH344" s="1"/>
      <c r="BI344" s="1"/>
      <c r="BJ344" s="1"/>
      <c r="BK344" s="1"/>
      <c r="BL344" s="1"/>
      <c r="BM344" s="1">
        <v>42782.25</v>
      </c>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row>
    <row r="345" spans="1:216" x14ac:dyDescent="0.3">
      <c r="A345" s="3" t="str">
        <f>HYPERLINK("https://hpr-rps.hres.ca/reg-content/summary-basis-decision-detailTwo.php?lang=en&amp;linkID=SBD00354", "Portrazza")</f>
        <v>Portrazza</v>
      </c>
      <c r="B345" s="1" t="s">
        <v>918</v>
      </c>
      <c r="C345" s="1" t="s">
        <v>140</v>
      </c>
      <c r="D345" s="1" t="s">
        <v>919</v>
      </c>
      <c r="E345" s="1">
        <v>42431.25</v>
      </c>
      <c r="F345" s="1"/>
      <c r="G345" s="1"/>
      <c r="H345" s="1">
        <v>42458.25</v>
      </c>
      <c r="I345" s="1"/>
      <c r="J345" s="1"/>
      <c r="K345" s="1"/>
      <c r="L345" s="1"/>
      <c r="M345" s="1"/>
      <c r="N345" s="1"/>
      <c r="O345" s="1"/>
      <c r="P345" s="1"/>
      <c r="Q345" s="1"/>
      <c r="R345" s="1"/>
      <c r="S345" s="1"/>
      <c r="T345" s="1"/>
      <c r="U345" s="1"/>
      <c r="V345" s="1"/>
      <c r="W345" s="1"/>
      <c r="X345" s="1"/>
      <c r="Y345" s="1"/>
      <c r="Z345" s="1"/>
      <c r="AA345" s="1"/>
      <c r="AB345" s="1"/>
      <c r="AC345" s="1"/>
      <c r="AD345" s="1"/>
      <c r="AE345" s="1"/>
      <c r="AF345" s="1">
        <v>42510.25</v>
      </c>
      <c r="AG345" s="1"/>
      <c r="AH345" s="1"/>
      <c r="AI345" s="1"/>
      <c r="AJ345" s="1"/>
      <c r="AK345" s="1"/>
      <c r="AL345" s="1"/>
      <c r="AM345" s="1"/>
      <c r="AN345" s="1"/>
      <c r="AO345" s="1"/>
      <c r="AP345" s="1"/>
      <c r="AQ345" s="1">
        <v>42748.25</v>
      </c>
      <c r="AR345" s="1">
        <v>42809.208333333343</v>
      </c>
      <c r="AS345" s="1"/>
      <c r="AT345" s="1"/>
      <c r="AU345" s="1"/>
      <c r="AV345" s="1">
        <v>42809.208333333343</v>
      </c>
      <c r="AW345" s="1"/>
      <c r="AX345" s="1"/>
      <c r="AY345" s="1"/>
      <c r="AZ345" s="1">
        <v>42809.208333333343</v>
      </c>
      <c r="BA345" s="1"/>
      <c r="BB345" s="1"/>
      <c r="BC345" s="1"/>
      <c r="BD345" s="1"/>
      <c r="BE345" s="1"/>
      <c r="BF345" s="1"/>
      <c r="BG345" s="1"/>
      <c r="BH345" s="1"/>
      <c r="BI345" s="1"/>
      <c r="BJ345" s="1"/>
      <c r="BK345" s="1"/>
      <c r="BL345" s="1"/>
      <c r="BM345" s="1">
        <v>42810.208333333343</v>
      </c>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row>
    <row r="346" spans="1:216" x14ac:dyDescent="0.3">
      <c r="A346" s="3" t="str">
        <f>HYPERLINK("https://hpr-rps.hres.ca/reg-content/summary-basis-decision-detailTwo.php?lang=en&amp;linkID=SBD00355", "Brinavess")</f>
        <v>Brinavess</v>
      </c>
      <c r="B346" s="1" t="s">
        <v>920</v>
      </c>
      <c r="C346" s="1" t="s">
        <v>921</v>
      </c>
      <c r="D346" s="1" t="s">
        <v>922</v>
      </c>
      <c r="E346" s="1">
        <v>42067.25</v>
      </c>
      <c r="F346" s="1"/>
      <c r="G346" s="1"/>
      <c r="H346" s="1">
        <v>42373.25</v>
      </c>
      <c r="I346" s="1"/>
      <c r="J346" s="1"/>
      <c r="K346" s="1"/>
      <c r="L346" s="1"/>
      <c r="M346" s="1"/>
      <c r="N346" s="1"/>
      <c r="O346" s="1"/>
      <c r="P346" s="1"/>
      <c r="Q346" s="1"/>
      <c r="R346" s="1"/>
      <c r="S346" s="1"/>
      <c r="T346" s="1"/>
      <c r="U346" s="1"/>
      <c r="V346" s="1"/>
      <c r="W346" s="1"/>
      <c r="X346" s="1"/>
      <c r="Y346" s="1"/>
      <c r="Z346" s="1">
        <v>42419.25</v>
      </c>
      <c r="AA346" s="1"/>
      <c r="AB346" s="1"/>
      <c r="AC346" s="1">
        <v>42436.25</v>
      </c>
      <c r="AD346" s="1"/>
      <c r="AE346" s="1"/>
      <c r="AF346" s="1">
        <v>42507.25</v>
      </c>
      <c r="AG346" s="1"/>
      <c r="AH346" s="1"/>
      <c r="AI346" s="1"/>
      <c r="AJ346" s="1"/>
      <c r="AK346" s="1"/>
      <c r="AL346" s="1"/>
      <c r="AM346" s="1"/>
      <c r="AN346" s="1"/>
      <c r="AO346" s="1"/>
      <c r="AP346" s="1"/>
      <c r="AQ346" s="1">
        <v>42782.25</v>
      </c>
      <c r="AR346" s="1">
        <v>42807.208333333343</v>
      </c>
      <c r="AS346" s="1"/>
      <c r="AT346" s="1"/>
      <c r="AU346" s="1"/>
      <c r="AV346" s="1">
        <v>42801.25</v>
      </c>
      <c r="AW346" s="1"/>
      <c r="AX346" s="1"/>
      <c r="AY346" s="1"/>
      <c r="AZ346" s="1">
        <v>42797.25</v>
      </c>
      <c r="BA346" s="1"/>
      <c r="BB346" s="1"/>
      <c r="BC346" s="1"/>
      <c r="BD346" s="1"/>
      <c r="BE346" s="1"/>
      <c r="BF346" s="1"/>
      <c r="BG346" s="1"/>
      <c r="BH346" s="1"/>
      <c r="BI346" s="1"/>
      <c r="BJ346" s="1"/>
      <c r="BK346" s="1"/>
      <c r="BL346" s="1"/>
      <c r="BM346" s="1">
        <v>42807.208333333343</v>
      </c>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row>
    <row r="347" spans="1:216" x14ac:dyDescent="0.3">
      <c r="A347" s="3" t="str">
        <f>HYPERLINK("https://hpr-rps.hres.ca/reg-content/summary-basis-decision-detailTwo.php?lang=en&amp;linkID=SBD00356", "Tecentriq")</f>
        <v>Tecentriq</v>
      </c>
      <c r="B347" s="1" t="s">
        <v>923</v>
      </c>
      <c r="C347" s="1" t="s">
        <v>84</v>
      </c>
      <c r="D347" s="1" t="s">
        <v>924</v>
      </c>
      <c r="E347" s="1">
        <v>42501.25</v>
      </c>
      <c r="F347" s="1"/>
      <c r="G347" s="1">
        <v>42564.25</v>
      </c>
      <c r="H347" s="1">
        <v>42569.25</v>
      </c>
      <c r="I347" s="1"/>
      <c r="J347" s="1"/>
      <c r="K347" s="1"/>
      <c r="L347" s="1"/>
      <c r="M347" s="1"/>
      <c r="N347" s="1"/>
      <c r="O347" s="1"/>
      <c r="P347" s="1"/>
      <c r="Q347" s="1"/>
      <c r="R347" s="1"/>
      <c r="S347" s="1"/>
      <c r="T347" s="1"/>
      <c r="U347" s="1"/>
      <c r="V347" s="1"/>
      <c r="W347" s="1"/>
      <c r="X347" s="1"/>
      <c r="Y347" s="1"/>
      <c r="Z347" s="1"/>
      <c r="AA347" s="1"/>
      <c r="AB347" s="1"/>
      <c r="AC347" s="1"/>
      <c r="AD347" s="1"/>
      <c r="AE347" s="1"/>
      <c r="AF347" s="1">
        <v>42601.25</v>
      </c>
      <c r="AG347" s="1"/>
      <c r="AH347" s="1"/>
      <c r="AI347" s="1"/>
      <c r="AJ347" s="1"/>
      <c r="AK347" s="1"/>
      <c r="AL347" s="1"/>
      <c r="AM347" s="1"/>
      <c r="AN347" s="1"/>
      <c r="AO347" s="1">
        <v>42758.25</v>
      </c>
      <c r="AP347" s="1"/>
      <c r="AQ347" s="1"/>
      <c r="AR347" s="1">
        <v>42794.25</v>
      </c>
      <c r="AS347" s="1"/>
      <c r="AT347" s="1"/>
      <c r="AU347" s="1"/>
      <c r="AV347" s="1">
        <v>42795.25</v>
      </c>
      <c r="AW347" s="1"/>
      <c r="AX347" s="1"/>
      <c r="AY347" s="1"/>
      <c r="AZ347" s="1"/>
      <c r="BA347" s="1"/>
      <c r="BB347" s="1"/>
      <c r="BC347" s="1"/>
      <c r="BD347" s="1"/>
      <c r="BE347" s="1"/>
      <c r="BF347" s="1"/>
      <c r="BG347" s="1"/>
      <c r="BH347" s="1"/>
      <c r="BI347" s="1"/>
      <c r="BJ347" s="1"/>
      <c r="BK347" s="1">
        <v>42801.25</v>
      </c>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v>42829.25</v>
      </c>
      <c r="CN347" s="1"/>
      <c r="CO347" s="1"/>
      <c r="CP347" s="1"/>
      <c r="CQ347" s="1"/>
      <c r="CR347" s="1"/>
      <c r="CS347" s="1"/>
      <c r="CT347" s="1"/>
      <c r="CU347" s="1">
        <v>42822.25</v>
      </c>
      <c r="CV347" s="1"/>
      <c r="CW347" s="1"/>
      <c r="CX347" s="1"/>
      <c r="CY347" s="1"/>
      <c r="CZ347" s="1"/>
      <c r="DA347" s="1"/>
      <c r="DB347" s="1"/>
      <c r="DC347" s="1"/>
      <c r="DD347" s="1"/>
      <c r="DE347" s="1"/>
      <c r="DF347" s="1"/>
      <c r="DG347" s="1">
        <v>42837.25</v>
      </c>
      <c r="DH347" s="1"/>
      <c r="DI347" s="1"/>
      <c r="DJ347" s="1"/>
      <c r="DK347" s="1"/>
      <c r="DL347" s="1"/>
      <c r="DM347" s="1"/>
      <c r="DN347" s="1"/>
      <c r="DO347" s="1"/>
      <c r="DP347" s="1"/>
      <c r="DQ347" s="1"/>
      <c r="DR347" s="1"/>
      <c r="DS347" s="1"/>
      <c r="DT347" s="1">
        <v>42804.25</v>
      </c>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row>
    <row r="348" spans="1:216" x14ac:dyDescent="0.3">
      <c r="A348" s="3" t="str">
        <f>HYPERLINK("https://hpr-rps.hres.ca/reg-content/summary-basis-decision-detailTwo.php?lang=en&amp;linkID=SBD00357", "Ocaliva")</f>
        <v>Ocaliva</v>
      </c>
      <c r="B348" s="1" t="s">
        <v>925</v>
      </c>
      <c r="C348" s="1" t="s">
        <v>926</v>
      </c>
      <c r="D348" s="1" t="s">
        <v>927</v>
      </c>
      <c r="E348" s="1">
        <v>42271.25</v>
      </c>
      <c r="F348" s="1"/>
      <c r="G348" s="1"/>
      <c r="H348" s="1"/>
      <c r="I348" s="1"/>
      <c r="J348" s="1"/>
      <c r="K348" s="1"/>
      <c r="L348" s="1"/>
      <c r="M348" s="1"/>
      <c r="N348" s="1">
        <v>42579.25</v>
      </c>
      <c r="O348" s="1"/>
      <c r="P348" s="1"/>
      <c r="Q348" s="1"/>
      <c r="R348" s="1"/>
      <c r="S348" s="1">
        <v>42613.25</v>
      </c>
      <c r="T348" s="1"/>
      <c r="U348" s="1"/>
      <c r="V348" s="1">
        <v>42629.25</v>
      </c>
      <c r="W348" s="1"/>
      <c r="X348" s="1"/>
      <c r="Y348" s="1"/>
      <c r="Z348" s="1"/>
      <c r="AA348" s="1"/>
      <c r="AB348" s="1"/>
      <c r="AC348" s="1"/>
      <c r="AD348" s="1"/>
      <c r="AE348" s="1"/>
      <c r="AF348" s="1">
        <v>42661.25</v>
      </c>
      <c r="AG348" s="1"/>
      <c r="AH348" s="1"/>
      <c r="AI348" s="1"/>
      <c r="AJ348" s="1"/>
      <c r="AK348" s="1"/>
      <c r="AL348" s="1"/>
      <c r="AM348" s="1"/>
      <c r="AN348" s="1"/>
      <c r="AO348" s="1"/>
      <c r="AP348" s="1"/>
      <c r="AQ348" s="1">
        <v>42822.25</v>
      </c>
      <c r="AR348" s="1">
        <v>42838.25</v>
      </c>
      <c r="AS348" s="1">
        <v>42836.25</v>
      </c>
      <c r="AT348" s="1"/>
      <c r="AU348" s="1"/>
      <c r="AV348" s="1">
        <v>42837.25</v>
      </c>
      <c r="AW348" s="1"/>
      <c r="AX348" s="1"/>
      <c r="AY348" s="1"/>
      <c r="AZ348" s="1"/>
      <c r="BA348" s="1"/>
      <c r="BB348" s="1"/>
      <c r="BC348" s="1"/>
      <c r="BD348" s="1"/>
      <c r="BE348" s="1"/>
      <c r="BF348" s="1"/>
      <c r="BG348" s="1"/>
      <c r="BH348" s="1"/>
      <c r="BI348" s="1"/>
      <c r="BJ348" s="1"/>
      <c r="BK348" s="1">
        <v>42838.25</v>
      </c>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v>42879.25</v>
      </c>
      <c r="CV348" s="1"/>
      <c r="CW348" s="1"/>
      <c r="CX348" s="1"/>
      <c r="CY348" s="1"/>
      <c r="CZ348" s="1"/>
      <c r="DA348" s="1"/>
      <c r="DB348" s="1"/>
      <c r="DC348" s="1"/>
      <c r="DD348" s="1"/>
      <c r="DE348" s="1"/>
      <c r="DF348" s="1"/>
      <c r="DG348" s="1">
        <v>42879.25</v>
      </c>
      <c r="DH348" s="1"/>
      <c r="DI348" s="1"/>
      <c r="DJ348" s="1"/>
      <c r="DK348" s="1"/>
      <c r="DL348" s="1"/>
      <c r="DM348" s="1"/>
      <c r="DN348" s="1"/>
      <c r="DO348" s="1"/>
      <c r="DP348" s="1"/>
      <c r="DQ348" s="1"/>
      <c r="DR348" s="1"/>
      <c r="DS348" s="1"/>
      <c r="DT348" s="1">
        <v>42850.25</v>
      </c>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row>
    <row r="349" spans="1:216" x14ac:dyDescent="0.3">
      <c r="A349" s="3" t="str">
        <f>HYPERLINK("https://hpr-rps.hres.ca/reg-content/summary-basis-decision-detailTwo.php?lang=en&amp;linkID=SBD00358", "Ozanex")</f>
        <v>Ozanex</v>
      </c>
      <c r="B349" s="1" t="s">
        <v>928</v>
      </c>
      <c r="C349" s="1" t="s">
        <v>929</v>
      </c>
      <c r="D349" s="1" t="s">
        <v>930</v>
      </c>
      <c r="E349" s="1"/>
      <c r="F349" s="1"/>
      <c r="G349" s="1"/>
      <c r="H349" s="1">
        <v>42461.25</v>
      </c>
      <c r="I349" s="1"/>
      <c r="J349" s="1"/>
      <c r="K349" s="1"/>
      <c r="L349" s="1"/>
      <c r="M349" s="1"/>
      <c r="N349" s="1"/>
      <c r="O349" s="1"/>
      <c r="P349" s="1"/>
      <c r="Q349" s="1"/>
      <c r="R349" s="1"/>
      <c r="S349" s="1"/>
      <c r="T349" s="1"/>
      <c r="U349" s="1"/>
      <c r="V349" s="1"/>
      <c r="W349" s="1"/>
      <c r="X349" s="1"/>
      <c r="Y349" s="1"/>
      <c r="Z349" s="1">
        <v>42510.25</v>
      </c>
      <c r="AA349" s="1"/>
      <c r="AB349" s="1"/>
      <c r="AC349" s="1">
        <v>42522.25</v>
      </c>
      <c r="AD349" s="1"/>
      <c r="AE349" s="1"/>
      <c r="AF349" s="1">
        <v>42556.25</v>
      </c>
      <c r="AG349" s="1"/>
      <c r="AH349" s="1"/>
      <c r="AI349" s="1"/>
      <c r="AJ349" s="1"/>
      <c r="AK349" s="1"/>
      <c r="AL349" s="1"/>
      <c r="AM349" s="1"/>
      <c r="AN349" s="1"/>
      <c r="AO349" s="1"/>
      <c r="AP349" s="1"/>
      <c r="AQ349" s="1">
        <v>42790.25</v>
      </c>
      <c r="AR349" s="1">
        <v>42853.25</v>
      </c>
      <c r="AS349" s="1"/>
      <c r="AT349" s="1"/>
      <c r="AU349" s="1"/>
      <c r="AV349" s="1">
        <v>42853.25</v>
      </c>
      <c r="AW349" s="1"/>
      <c r="AX349" s="1"/>
      <c r="AY349" s="1"/>
      <c r="AZ349" s="1">
        <v>42856.25</v>
      </c>
      <c r="BA349" s="1"/>
      <c r="BB349" s="1"/>
      <c r="BC349" s="1"/>
      <c r="BD349" s="1"/>
      <c r="BE349" s="1"/>
      <c r="BF349" s="1"/>
      <c r="BG349" s="1"/>
      <c r="BH349" s="1"/>
      <c r="BI349" s="1"/>
      <c r="BJ349" s="1"/>
      <c r="BK349" s="1"/>
      <c r="BL349" s="1"/>
      <c r="BM349" s="1">
        <v>42856.25</v>
      </c>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row>
    <row r="350" spans="1:216" x14ac:dyDescent="0.3">
      <c r="A350" s="3" t="str">
        <f>HYPERLINK("https://hpr-rps.hres.ca/reg-content/summary-basis-decision-detailTwo.php?lang=en&amp;linkID=SBD00359", "Cerdelga")</f>
        <v>Cerdelga</v>
      </c>
      <c r="B350" s="1" t="s">
        <v>931</v>
      </c>
      <c r="C350" s="1" t="s">
        <v>932</v>
      </c>
      <c r="D350" s="1" t="s">
        <v>933</v>
      </c>
      <c r="E350" s="1">
        <v>41656.25</v>
      </c>
      <c r="F350" s="1"/>
      <c r="G350" s="1"/>
      <c r="H350" s="1">
        <v>42082.208333333343</v>
      </c>
      <c r="I350" s="1"/>
      <c r="J350" s="1"/>
      <c r="K350" s="1"/>
      <c r="L350" s="1"/>
      <c r="M350" s="1"/>
      <c r="N350" s="1"/>
      <c r="O350" s="1"/>
      <c r="P350" s="1"/>
      <c r="Q350" s="1"/>
      <c r="R350" s="1"/>
      <c r="S350" s="1"/>
      <c r="T350" s="1"/>
      <c r="U350" s="1"/>
      <c r="V350" s="1"/>
      <c r="W350" s="1"/>
      <c r="X350" s="1"/>
      <c r="Y350" s="1"/>
      <c r="Z350" s="1"/>
      <c r="AA350" s="1"/>
      <c r="AB350" s="1"/>
      <c r="AC350" s="1"/>
      <c r="AD350" s="1"/>
      <c r="AE350" s="1"/>
      <c r="AF350" s="1">
        <v>42128.25</v>
      </c>
      <c r="AG350" s="1"/>
      <c r="AH350" s="1"/>
      <c r="AI350" s="1"/>
      <c r="AJ350" s="1"/>
      <c r="AK350" s="1"/>
      <c r="AL350" s="1"/>
      <c r="AM350" s="1"/>
      <c r="AN350" s="1"/>
      <c r="AO350" s="1"/>
      <c r="AP350" s="1"/>
      <c r="AQ350" s="1"/>
      <c r="AR350" s="1"/>
      <c r="AS350" s="1"/>
      <c r="AT350" s="1"/>
      <c r="AU350" s="1"/>
      <c r="AV350" s="1">
        <v>42422.25</v>
      </c>
      <c r="AW350" s="1"/>
      <c r="AX350" s="1"/>
      <c r="AY350" s="1"/>
      <c r="AZ350" s="1">
        <v>42425.25</v>
      </c>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v>42510.25</v>
      </c>
      <c r="BZ350" s="1"/>
      <c r="CA350" s="1"/>
      <c r="CB350" s="1"/>
      <c r="CC350" s="1"/>
      <c r="CD350" s="1"/>
      <c r="CE350" s="1"/>
      <c r="CF350" s="1"/>
      <c r="CG350" s="1"/>
      <c r="CH350" s="1"/>
      <c r="CI350" s="1"/>
      <c r="CJ350" s="1"/>
      <c r="CK350" s="1"/>
      <c r="CL350" s="1"/>
      <c r="CM350" s="1"/>
      <c r="CN350" s="1"/>
      <c r="CO350" s="1"/>
      <c r="CP350" s="1"/>
      <c r="CQ350" s="1"/>
      <c r="CR350" s="1">
        <v>42548.25</v>
      </c>
      <c r="CS350" s="1"/>
      <c r="CT350" s="1"/>
      <c r="CU350" s="1"/>
      <c r="CV350" s="1"/>
      <c r="CW350" s="1"/>
      <c r="CX350" s="1"/>
      <c r="CY350" s="1"/>
      <c r="CZ350" s="1"/>
      <c r="DA350" s="1"/>
      <c r="DB350" s="1"/>
      <c r="DC350" s="1">
        <v>42843.25</v>
      </c>
      <c r="DD350" s="1">
        <v>42845.25</v>
      </c>
      <c r="DE350" s="1"/>
      <c r="DF350" s="1"/>
      <c r="DG350" s="1"/>
      <c r="DH350" s="1"/>
      <c r="DI350" s="1"/>
      <c r="DJ350" s="1"/>
      <c r="DK350" s="1"/>
      <c r="DL350" s="1">
        <v>42846.25</v>
      </c>
      <c r="DM350" s="1"/>
      <c r="DN350" s="1"/>
      <c r="DO350" s="1"/>
      <c r="DP350" s="1"/>
      <c r="DQ350" s="1"/>
      <c r="DR350" s="1"/>
      <c r="DS350" s="1"/>
      <c r="DT350" s="1"/>
      <c r="DU350" s="1"/>
      <c r="DV350" s="1"/>
      <c r="DW350" s="1"/>
      <c r="DX350" s="1"/>
      <c r="DY350" s="1">
        <v>42846.25</v>
      </c>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row>
    <row r="351" spans="1:216" x14ac:dyDescent="0.3">
      <c r="A351" s="3" t="str">
        <f>HYPERLINK("https://hpr-rps.hres.ca/reg-content/summary-basis-decision-detailTwo.php?lang=en&amp;linkID=SBD00360", "Erelzi")</f>
        <v>Erelzi</v>
      </c>
      <c r="B351" s="1" t="s">
        <v>868</v>
      </c>
      <c r="C351" s="1" t="s">
        <v>934</v>
      </c>
      <c r="D351" s="1" t="s">
        <v>935</v>
      </c>
      <c r="E351" s="1">
        <v>42300.25</v>
      </c>
      <c r="F351" s="1"/>
      <c r="G351" s="1"/>
      <c r="H351" s="1">
        <v>42478.25</v>
      </c>
      <c r="I351" s="1"/>
      <c r="J351" s="1"/>
      <c r="K351" s="1"/>
      <c r="L351" s="1"/>
      <c r="M351" s="1"/>
      <c r="N351" s="1"/>
      <c r="O351" s="1"/>
      <c r="P351" s="1"/>
      <c r="Q351" s="1"/>
      <c r="R351" s="1"/>
      <c r="S351" s="1"/>
      <c r="T351" s="1"/>
      <c r="U351" s="1"/>
      <c r="V351" s="1"/>
      <c r="W351" s="1"/>
      <c r="X351" s="1"/>
      <c r="Y351" s="1"/>
      <c r="Z351" s="1"/>
      <c r="AA351" s="1"/>
      <c r="AB351" s="1"/>
      <c r="AC351" s="1"/>
      <c r="AD351" s="1"/>
      <c r="AE351" s="1"/>
      <c r="AF351" s="1">
        <v>42531.25</v>
      </c>
      <c r="AG351" s="1"/>
      <c r="AH351" s="1"/>
      <c r="AI351" s="1"/>
      <c r="AJ351" s="1"/>
      <c r="AK351" s="1"/>
      <c r="AL351" s="1"/>
      <c r="AM351" s="1"/>
      <c r="AN351" s="1"/>
      <c r="AO351" s="1"/>
      <c r="AP351" s="1"/>
      <c r="AQ351" s="1">
        <v>42689.25</v>
      </c>
      <c r="AR351" s="1">
        <v>42829.25</v>
      </c>
      <c r="AS351" s="1"/>
      <c r="AT351" s="1"/>
      <c r="AU351" s="1"/>
      <c r="AV351" s="1">
        <v>42830.25</v>
      </c>
      <c r="AW351" s="1"/>
      <c r="AX351" s="1"/>
      <c r="AY351" s="1"/>
      <c r="AZ351" s="1">
        <v>42831.25</v>
      </c>
      <c r="BA351" s="1"/>
      <c r="BB351" s="1"/>
      <c r="BC351" s="1"/>
      <c r="BD351" s="1"/>
      <c r="BE351" s="1"/>
      <c r="BF351" s="1"/>
      <c r="BG351" s="1"/>
      <c r="BH351" s="1"/>
      <c r="BI351" s="1"/>
      <c r="BJ351" s="1"/>
      <c r="BK351" s="1"/>
      <c r="BL351" s="1"/>
      <c r="BM351" s="1">
        <v>42831.25</v>
      </c>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row>
    <row r="352" spans="1:216" x14ac:dyDescent="0.3">
      <c r="A352" s="3" t="str">
        <f>HYPERLINK("https://hpr-rps.hres.ca/reg-content/summary-basis-decision-detailTwo.php?lang=en&amp;linkID=SBD00361", "Spinraza")</f>
        <v>Spinraza</v>
      </c>
      <c r="B352" s="1" t="s">
        <v>936</v>
      </c>
      <c r="C352" s="1" t="s">
        <v>937</v>
      </c>
      <c r="D352" s="1" t="s">
        <v>938</v>
      </c>
      <c r="E352" s="1">
        <v>42577.25</v>
      </c>
      <c r="F352" s="1"/>
      <c r="G352" s="1"/>
      <c r="H352" s="1">
        <v>42684.25</v>
      </c>
      <c r="I352" s="1"/>
      <c r="J352" s="1"/>
      <c r="K352" s="1"/>
      <c r="L352" s="1"/>
      <c r="M352" s="1"/>
      <c r="N352" s="1"/>
      <c r="O352" s="1"/>
      <c r="P352" s="1"/>
      <c r="Q352" s="1"/>
      <c r="R352" s="1"/>
      <c r="S352" s="1"/>
      <c r="T352" s="1"/>
      <c r="U352" s="1"/>
      <c r="V352" s="1"/>
      <c r="W352" s="1"/>
      <c r="X352" s="1"/>
      <c r="Y352" s="1"/>
      <c r="Z352" s="1"/>
      <c r="AA352" s="1"/>
      <c r="AB352" s="1"/>
      <c r="AC352" s="1"/>
      <c r="AD352" s="1"/>
      <c r="AE352" s="1"/>
      <c r="AF352" s="1">
        <v>42716.25</v>
      </c>
      <c r="AG352" s="1"/>
      <c r="AH352" s="1"/>
      <c r="AI352" s="1"/>
      <c r="AJ352" s="1"/>
      <c r="AK352" s="1"/>
      <c r="AL352" s="1"/>
      <c r="AM352" s="1"/>
      <c r="AN352" s="1"/>
      <c r="AO352" s="1"/>
      <c r="AP352" s="1"/>
      <c r="AQ352" s="1">
        <v>42900.25</v>
      </c>
      <c r="AR352" s="1">
        <v>42913.25</v>
      </c>
      <c r="AS352" s="1"/>
      <c r="AT352" s="1"/>
      <c r="AU352" s="1"/>
      <c r="AV352" s="1">
        <v>42913.25</v>
      </c>
      <c r="AW352" s="1"/>
      <c r="AX352" s="1"/>
      <c r="AY352" s="1"/>
      <c r="AZ352" s="1">
        <v>42914.25</v>
      </c>
      <c r="BA352" s="1"/>
      <c r="BB352" s="1"/>
      <c r="BC352" s="1"/>
      <c r="BD352" s="1"/>
      <c r="BE352" s="1"/>
      <c r="BF352" s="1"/>
      <c r="BG352" s="1"/>
      <c r="BH352" s="1"/>
      <c r="BI352" s="1"/>
      <c r="BJ352" s="1"/>
      <c r="BK352" s="1"/>
      <c r="BL352" s="1"/>
      <c r="BM352" s="1">
        <v>42915.25</v>
      </c>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row>
    <row r="353" spans="1:216" x14ac:dyDescent="0.3">
      <c r="A353" s="3" t="str">
        <f>HYPERLINK("https://hpr-rps.hres.ca/reg-content/summary-basis-decision-detailTwo.php?lang=en&amp;linkID=SBD00362", "Procysbi")</f>
        <v>Procysbi</v>
      </c>
      <c r="B353" s="1" t="s">
        <v>939</v>
      </c>
      <c r="C353" s="1" t="s">
        <v>796</v>
      </c>
      <c r="D353" s="1" t="s">
        <v>940</v>
      </c>
      <c r="E353" s="1">
        <v>41318.25</v>
      </c>
      <c r="F353" s="1"/>
      <c r="G353" s="1"/>
      <c r="H353" s="1"/>
      <c r="I353" s="1"/>
      <c r="J353" s="1"/>
      <c r="K353" s="1"/>
      <c r="L353" s="1"/>
      <c r="M353" s="1"/>
      <c r="N353" s="1">
        <v>42326.25</v>
      </c>
      <c r="O353" s="1"/>
      <c r="P353" s="1"/>
      <c r="Q353" s="1"/>
      <c r="R353" s="1"/>
      <c r="S353" s="1">
        <v>42362.25</v>
      </c>
      <c r="T353" s="1"/>
      <c r="U353" s="1"/>
      <c r="V353" s="1">
        <v>42390.25</v>
      </c>
      <c r="W353" s="1"/>
      <c r="X353" s="1"/>
      <c r="Y353" s="1"/>
      <c r="Z353" s="1">
        <v>42419.25</v>
      </c>
      <c r="AA353" s="1"/>
      <c r="AB353" s="1"/>
      <c r="AC353" s="1">
        <v>42424.25</v>
      </c>
      <c r="AD353" s="1"/>
      <c r="AE353" s="1"/>
      <c r="AF353" s="1">
        <v>42445.208333333343</v>
      </c>
      <c r="AG353" s="1"/>
      <c r="AH353" s="1"/>
      <c r="AI353" s="1"/>
      <c r="AJ353" s="1"/>
      <c r="AK353" s="1"/>
      <c r="AL353" s="1"/>
      <c r="AM353" s="1"/>
      <c r="AN353" s="1"/>
      <c r="AO353" s="1"/>
      <c r="AP353" s="1"/>
      <c r="AQ353" s="1"/>
      <c r="AR353" s="1"/>
      <c r="AS353" s="1">
        <v>42549.25</v>
      </c>
      <c r="AT353" s="1"/>
      <c r="AU353" s="1"/>
      <c r="AV353" s="1"/>
      <c r="AW353" s="1"/>
      <c r="AX353" s="1"/>
      <c r="AY353" s="1"/>
      <c r="AZ353" s="1"/>
      <c r="BA353" s="1"/>
      <c r="BB353" s="1"/>
      <c r="BC353" s="1"/>
      <c r="BD353" s="1"/>
      <c r="BE353" s="1"/>
      <c r="BF353" s="1"/>
      <c r="BG353" s="1"/>
      <c r="BH353" s="1"/>
      <c r="BI353" s="1"/>
      <c r="BJ353" s="1"/>
      <c r="BK353" s="1"/>
      <c r="BL353" s="1"/>
      <c r="BM353" s="1"/>
      <c r="BN353" s="1"/>
      <c r="BO353" s="1"/>
      <c r="BP353" s="1">
        <v>42562.25</v>
      </c>
      <c r="BQ353" s="1"/>
      <c r="BR353" s="1"/>
      <c r="BS353" s="1"/>
      <c r="BT353" s="1"/>
      <c r="BU353" s="1"/>
      <c r="BV353" s="1"/>
      <c r="BW353" s="1"/>
      <c r="BX353" s="1"/>
      <c r="BY353" s="1">
        <v>42677.208333333343</v>
      </c>
      <c r="BZ353" s="1"/>
      <c r="CA353" s="1"/>
      <c r="CB353" s="1"/>
      <c r="CC353" s="1"/>
      <c r="CD353" s="1"/>
      <c r="CE353" s="1"/>
      <c r="CF353" s="1"/>
      <c r="CG353" s="1"/>
      <c r="CH353" s="1"/>
      <c r="CI353" s="1"/>
      <c r="CJ353" s="1"/>
      <c r="CK353" s="1"/>
      <c r="CL353" s="1"/>
      <c r="CM353" s="1"/>
      <c r="CN353" s="1"/>
      <c r="CO353" s="1"/>
      <c r="CP353" s="1"/>
      <c r="CQ353" s="1"/>
      <c r="CR353" s="1">
        <v>42720.25</v>
      </c>
      <c r="CS353" s="1"/>
      <c r="CT353" s="1"/>
      <c r="CU353" s="1"/>
      <c r="CV353" s="1"/>
      <c r="CW353" s="1"/>
      <c r="CX353" s="1"/>
      <c r="CY353" s="1"/>
      <c r="CZ353" s="1"/>
      <c r="DA353" s="1"/>
      <c r="DB353" s="1"/>
      <c r="DC353" s="1">
        <v>42873.25</v>
      </c>
      <c r="DD353" s="1">
        <v>42895.25</v>
      </c>
      <c r="DE353" s="1"/>
      <c r="DF353" s="1"/>
      <c r="DG353" s="1"/>
      <c r="DH353" s="1">
        <v>42891.25</v>
      </c>
      <c r="DI353" s="1"/>
      <c r="DJ353" s="1"/>
      <c r="DK353" s="1"/>
      <c r="DL353" s="1">
        <v>42899.25</v>
      </c>
      <c r="DM353" s="1"/>
      <c r="DN353" s="1"/>
      <c r="DO353" s="1"/>
      <c r="DP353" s="1"/>
      <c r="DQ353" s="1"/>
      <c r="DR353" s="1"/>
      <c r="DS353" s="1"/>
      <c r="DT353" s="1"/>
      <c r="DU353" s="1"/>
      <c r="DV353" s="1"/>
      <c r="DW353" s="1"/>
      <c r="DX353" s="1"/>
      <c r="DY353" s="1">
        <v>42899.25</v>
      </c>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row>
    <row r="354" spans="1:216" x14ac:dyDescent="0.3">
      <c r="A354" s="3" t="str">
        <f>HYPERLINK("https://hpr-rps.hres.ca/reg-content/summary-basis-decision-detailTwo.php?lang=en&amp;linkID=SBD00363", "Adlyxine")</f>
        <v>Adlyxine</v>
      </c>
      <c r="B354" s="1" t="s">
        <v>941</v>
      </c>
      <c r="C354" s="1" t="s">
        <v>942</v>
      </c>
      <c r="D354" s="1" t="s">
        <v>943</v>
      </c>
      <c r="E354" s="1"/>
      <c r="F354" s="1"/>
      <c r="G354" s="1"/>
      <c r="H354" s="1">
        <v>42486.25</v>
      </c>
      <c r="I354" s="1"/>
      <c r="J354" s="1"/>
      <c r="K354" s="1"/>
      <c r="L354" s="1"/>
      <c r="M354" s="1"/>
      <c r="N354" s="1"/>
      <c r="O354" s="1"/>
      <c r="P354" s="1"/>
      <c r="Q354" s="1"/>
      <c r="R354" s="1"/>
      <c r="S354" s="1"/>
      <c r="T354" s="1"/>
      <c r="U354" s="1"/>
      <c r="V354" s="1"/>
      <c r="W354" s="1"/>
      <c r="X354" s="1"/>
      <c r="Y354" s="1"/>
      <c r="Z354" s="1"/>
      <c r="AA354" s="1"/>
      <c r="AB354" s="1"/>
      <c r="AC354" s="1"/>
      <c r="AD354" s="1"/>
      <c r="AE354" s="1"/>
      <c r="AF354" s="1">
        <v>42538.25</v>
      </c>
      <c r="AG354" s="1"/>
      <c r="AH354" s="1"/>
      <c r="AI354" s="1"/>
      <c r="AJ354" s="1"/>
      <c r="AK354" s="1"/>
      <c r="AL354" s="1"/>
      <c r="AM354" s="1"/>
      <c r="AN354" s="1"/>
      <c r="AO354" s="1"/>
      <c r="AP354" s="1"/>
      <c r="AQ354" s="1">
        <v>42803.25</v>
      </c>
      <c r="AR354" s="1">
        <v>42872.25</v>
      </c>
      <c r="AS354" s="1"/>
      <c r="AT354" s="1"/>
      <c r="AU354" s="1"/>
      <c r="AV354" s="1">
        <v>42828.25</v>
      </c>
      <c r="AW354" s="1"/>
      <c r="AX354" s="1"/>
      <c r="AY354" s="1"/>
      <c r="AZ354" s="1">
        <v>42874.25</v>
      </c>
      <c r="BA354" s="1"/>
      <c r="BB354" s="1"/>
      <c r="BC354" s="1"/>
      <c r="BD354" s="1"/>
      <c r="BE354" s="1"/>
      <c r="BF354" s="1"/>
      <c r="BG354" s="1"/>
      <c r="BH354" s="1"/>
      <c r="BI354" s="1"/>
      <c r="BJ354" s="1"/>
      <c r="BK354" s="1"/>
      <c r="BL354" s="1"/>
      <c r="BM354" s="1">
        <v>42880.25</v>
      </c>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row>
    <row r="355" spans="1:216" x14ac:dyDescent="0.3">
      <c r="A355" s="3" t="str">
        <f>HYPERLINK("https://hpr-rps.hres.ca/reg-content/summary-basis-decision-detailTwo.php?lang=en&amp;linkID=SBD00364", "Defitelio")</f>
        <v>Defitelio</v>
      </c>
      <c r="B355" s="1" t="s">
        <v>944</v>
      </c>
      <c r="C355" s="1" t="s">
        <v>945</v>
      </c>
      <c r="D355" s="1" t="s">
        <v>946</v>
      </c>
      <c r="E355" s="1">
        <v>42311.25</v>
      </c>
      <c r="F355" s="1"/>
      <c r="G355" s="1"/>
      <c r="H355" s="1"/>
      <c r="I355" s="1"/>
      <c r="J355" s="1"/>
      <c r="K355" s="1"/>
      <c r="L355" s="1"/>
      <c r="M355" s="1"/>
      <c r="N355" s="1">
        <v>42650.25</v>
      </c>
      <c r="O355" s="1"/>
      <c r="P355" s="1"/>
      <c r="Q355" s="1"/>
      <c r="R355" s="1"/>
      <c r="S355" s="1">
        <v>42681.25</v>
      </c>
      <c r="T355" s="1"/>
      <c r="U355" s="1"/>
      <c r="V355" s="1">
        <v>42713.25</v>
      </c>
      <c r="W355" s="1"/>
      <c r="X355" s="1"/>
      <c r="Y355" s="1"/>
      <c r="Z355" s="1"/>
      <c r="AA355" s="1"/>
      <c r="AB355" s="1"/>
      <c r="AC355" s="1"/>
      <c r="AD355" s="1"/>
      <c r="AE355" s="1"/>
      <c r="AF355" s="1">
        <v>42746.25</v>
      </c>
      <c r="AG355" s="1"/>
      <c r="AH355" s="1"/>
      <c r="AI355" s="1"/>
      <c r="AJ355" s="1"/>
      <c r="AK355" s="1"/>
      <c r="AL355" s="1"/>
      <c r="AM355" s="1"/>
      <c r="AN355" s="1"/>
      <c r="AO355" s="1"/>
      <c r="AP355" s="1"/>
      <c r="AQ355" s="1">
        <v>42880.25</v>
      </c>
      <c r="AR355" s="1">
        <v>42914.25</v>
      </c>
      <c r="AS355" s="1"/>
      <c r="AT355" s="1"/>
      <c r="AU355" s="1"/>
      <c r="AV355" s="1">
        <v>42914.25</v>
      </c>
      <c r="AW355" s="1"/>
      <c r="AX355" s="1"/>
      <c r="AY355" s="1"/>
      <c r="AZ355" s="1">
        <v>42926.25</v>
      </c>
      <c r="BA355" s="1"/>
      <c r="BB355" s="1"/>
      <c r="BC355" s="1"/>
      <c r="BD355" s="1"/>
      <c r="BE355" s="1"/>
      <c r="BF355" s="1"/>
      <c r="BG355" s="1"/>
      <c r="BH355" s="1"/>
      <c r="BI355" s="1"/>
      <c r="BJ355" s="1"/>
      <c r="BK355" s="1"/>
      <c r="BL355" s="1"/>
      <c r="BM355" s="1">
        <v>42926.25</v>
      </c>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row>
    <row r="356" spans="1:216" x14ac:dyDescent="0.3">
      <c r="A356" s="3" t="str">
        <f>HYPERLINK("https://hpr-rps.hres.ca/reg-content/summary-basis-decision-detailTwo.php?lang=en&amp;linkID=SBD00365", "Rydapt")</f>
        <v>Rydapt</v>
      </c>
      <c r="B356" s="1" t="s">
        <v>947</v>
      </c>
      <c r="C356" s="1" t="s">
        <v>87</v>
      </c>
      <c r="D356" s="1" t="s">
        <v>948</v>
      </c>
      <c r="E356" s="1">
        <v>42657.25</v>
      </c>
      <c r="F356" s="1"/>
      <c r="G356" s="1"/>
      <c r="H356" s="1"/>
      <c r="I356" s="1"/>
      <c r="J356" s="1"/>
      <c r="K356" s="1"/>
      <c r="L356" s="1"/>
      <c r="M356" s="1"/>
      <c r="N356" s="1">
        <v>42663.25</v>
      </c>
      <c r="O356" s="1"/>
      <c r="P356" s="1"/>
      <c r="Q356" s="1"/>
      <c r="R356" s="1"/>
      <c r="S356" s="1">
        <v>42702.25</v>
      </c>
      <c r="T356" s="1"/>
      <c r="U356" s="1"/>
      <c r="V356" s="1">
        <v>42713.25</v>
      </c>
      <c r="W356" s="1"/>
      <c r="X356" s="1"/>
      <c r="Y356" s="1"/>
      <c r="Z356" s="1"/>
      <c r="AA356" s="1"/>
      <c r="AB356" s="1"/>
      <c r="AC356" s="1"/>
      <c r="AD356" s="1"/>
      <c r="AE356" s="1"/>
      <c r="AF356" s="1">
        <v>42741.25</v>
      </c>
      <c r="AG356" s="1"/>
      <c r="AH356" s="1"/>
      <c r="AI356" s="1"/>
      <c r="AJ356" s="1"/>
      <c r="AK356" s="1"/>
      <c r="AL356" s="1"/>
      <c r="AM356" s="1"/>
      <c r="AN356" s="1"/>
      <c r="AO356" s="1"/>
      <c r="AP356" s="1"/>
      <c r="AQ356" s="1">
        <v>42893.25</v>
      </c>
      <c r="AR356" s="1">
        <v>42934.25</v>
      </c>
      <c r="AS356" s="1">
        <v>42881.25</v>
      </c>
      <c r="AT356" s="1"/>
      <c r="AU356" s="1"/>
      <c r="AV356" s="1">
        <v>42914.25</v>
      </c>
      <c r="AW356" s="1"/>
      <c r="AX356" s="1"/>
      <c r="AY356" s="1"/>
      <c r="AZ356" s="1">
        <v>42937.25</v>
      </c>
      <c r="BA356" s="1"/>
      <c r="BB356" s="1"/>
      <c r="BC356" s="1"/>
      <c r="BD356" s="1"/>
      <c r="BE356" s="1"/>
      <c r="BF356" s="1"/>
      <c r="BG356" s="1"/>
      <c r="BH356" s="1"/>
      <c r="BI356" s="1"/>
      <c r="BJ356" s="1"/>
      <c r="BK356" s="1"/>
      <c r="BL356" s="1"/>
      <c r="BM356" s="1">
        <v>42937.25</v>
      </c>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row>
    <row r="357" spans="1:216" x14ac:dyDescent="0.3">
      <c r="A357" s="3" t="str">
        <f>HYPERLINK("https://hpr-rps.hres.ca/reg-content/summary-basis-decision-detailTwo.php?lang=en&amp;linkID=SBD00366", "Ocrevus")</f>
        <v>Ocrevus</v>
      </c>
      <c r="B357" s="1" t="s">
        <v>949</v>
      </c>
      <c r="C357" s="1" t="s">
        <v>319</v>
      </c>
      <c r="D357" s="1" t="s">
        <v>950</v>
      </c>
      <c r="E357" s="1">
        <v>42515.25</v>
      </c>
      <c r="F357" s="1"/>
      <c r="G357" s="1"/>
      <c r="H357" s="1">
        <v>42629.25</v>
      </c>
      <c r="I357" s="1"/>
      <c r="J357" s="1"/>
      <c r="K357" s="1"/>
      <c r="L357" s="1"/>
      <c r="M357" s="1"/>
      <c r="N357" s="1"/>
      <c r="O357" s="1"/>
      <c r="P357" s="1"/>
      <c r="Q357" s="1"/>
      <c r="R357" s="1"/>
      <c r="S357" s="1"/>
      <c r="T357" s="1"/>
      <c r="U357" s="1"/>
      <c r="V357" s="1"/>
      <c r="W357" s="1"/>
      <c r="X357" s="1"/>
      <c r="Y357" s="1"/>
      <c r="Z357" s="1"/>
      <c r="AA357" s="1"/>
      <c r="AB357" s="1"/>
      <c r="AC357" s="1"/>
      <c r="AD357" s="1"/>
      <c r="AE357" s="1"/>
      <c r="AF357" s="1">
        <v>42661.25</v>
      </c>
      <c r="AG357" s="1"/>
      <c r="AH357" s="1"/>
      <c r="AI357" s="1"/>
      <c r="AJ357" s="1"/>
      <c r="AK357" s="1"/>
      <c r="AL357" s="1"/>
      <c r="AM357" s="1"/>
      <c r="AN357" s="1"/>
      <c r="AO357" s="1">
        <v>42765.25</v>
      </c>
      <c r="AP357" s="1"/>
      <c r="AQ357" s="1">
        <v>42951.25</v>
      </c>
      <c r="AR357" s="1">
        <v>42961.25</v>
      </c>
      <c r="AS357" s="1"/>
      <c r="AT357" s="1"/>
      <c r="AU357" s="1"/>
      <c r="AV357" s="1">
        <v>42957.25</v>
      </c>
      <c r="AW357" s="1"/>
      <c r="AX357" s="1"/>
      <c r="AY357" s="1"/>
      <c r="AZ357" s="1">
        <v>42957.25</v>
      </c>
      <c r="BA357" s="1"/>
      <c r="BB357" s="1"/>
      <c r="BC357" s="1"/>
      <c r="BD357" s="1"/>
      <c r="BE357" s="1"/>
      <c r="BF357" s="1"/>
      <c r="BG357" s="1"/>
      <c r="BH357" s="1"/>
      <c r="BI357" s="1"/>
      <c r="BJ357" s="1"/>
      <c r="BK357" s="1"/>
      <c r="BL357" s="1"/>
      <c r="BM357" s="1">
        <v>42961.25</v>
      </c>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row>
    <row r="358" spans="1:216" x14ac:dyDescent="0.3">
      <c r="A358" s="3" t="str">
        <f>HYPERLINK("https://hpr-rps.hres.ca/reg-content/summary-basis-decision-detailTwo.php?lang=en&amp;linkID=SBD00367", "Vosevi")</f>
        <v>Vosevi</v>
      </c>
      <c r="B358" s="1" t="s">
        <v>951</v>
      </c>
      <c r="C358" s="1" t="s">
        <v>134</v>
      </c>
      <c r="D358" s="1" t="s">
        <v>952</v>
      </c>
      <c r="E358" s="1">
        <v>42705.25</v>
      </c>
      <c r="F358" s="1"/>
      <c r="G358" s="1"/>
      <c r="H358" s="1"/>
      <c r="I358" s="1"/>
      <c r="J358" s="1"/>
      <c r="K358" s="1"/>
      <c r="L358" s="1"/>
      <c r="M358" s="1"/>
      <c r="N358" s="1">
        <v>42720.25</v>
      </c>
      <c r="O358" s="1"/>
      <c r="P358" s="1"/>
      <c r="Q358" s="1"/>
      <c r="R358" s="1"/>
      <c r="S358" s="1">
        <v>42753.25</v>
      </c>
      <c r="T358" s="1"/>
      <c r="U358" s="1"/>
      <c r="V358" s="1">
        <v>42762.25</v>
      </c>
      <c r="W358" s="1"/>
      <c r="X358" s="1"/>
      <c r="Y358" s="1"/>
      <c r="Z358" s="1"/>
      <c r="AA358" s="1"/>
      <c r="AB358" s="1"/>
      <c r="AC358" s="1"/>
      <c r="AD358" s="1"/>
      <c r="AE358" s="1"/>
      <c r="AF358" s="1">
        <v>42783.25</v>
      </c>
      <c r="AG358" s="1"/>
      <c r="AH358" s="1"/>
      <c r="AI358" s="1"/>
      <c r="AJ358" s="1"/>
      <c r="AK358" s="1"/>
      <c r="AL358" s="1"/>
      <c r="AM358" s="1"/>
      <c r="AN358" s="1"/>
      <c r="AO358" s="1"/>
      <c r="AP358" s="1"/>
      <c r="AQ358" s="1">
        <v>42943.25</v>
      </c>
      <c r="AR358" s="1">
        <v>42962.25</v>
      </c>
      <c r="AS358" s="1">
        <v>42923.25</v>
      </c>
      <c r="AT358" s="1"/>
      <c r="AU358" s="1"/>
      <c r="AV358" s="1">
        <v>42962.25</v>
      </c>
      <c r="AW358" s="1"/>
      <c r="AX358" s="1"/>
      <c r="AY358" s="1"/>
      <c r="AZ358" s="1">
        <v>42963.25</v>
      </c>
      <c r="BA358" s="1"/>
      <c r="BB358" s="1"/>
      <c r="BC358" s="1"/>
      <c r="BD358" s="1"/>
      <c r="BE358" s="1"/>
      <c r="BF358" s="1"/>
      <c r="BG358" s="1"/>
      <c r="BH358" s="1"/>
      <c r="BI358" s="1"/>
      <c r="BJ358" s="1"/>
      <c r="BK358" s="1"/>
      <c r="BL358" s="1"/>
      <c r="BM358" s="1">
        <v>42963.25</v>
      </c>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row>
    <row r="359" spans="1:216" x14ac:dyDescent="0.3">
      <c r="A359" s="3" t="str">
        <f>HYPERLINK("https://hpr-rps.hres.ca/reg-content/summary-basis-decision-detailTwo.php?lang=en&amp;linkID=SBD00368", "Trumenba")</f>
        <v>Trumenba</v>
      </c>
      <c r="B359" s="1" t="s">
        <v>953</v>
      </c>
      <c r="C359" s="1" t="s">
        <v>143</v>
      </c>
      <c r="D359" s="1" t="s">
        <v>954</v>
      </c>
      <c r="E359" s="1">
        <v>42437.25</v>
      </c>
      <c r="F359" s="1"/>
      <c r="G359" s="1"/>
      <c r="H359" s="1">
        <v>42521.25</v>
      </c>
      <c r="I359" s="1"/>
      <c r="J359" s="1"/>
      <c r="K359" s="1"/>
      <c r="L359" s="1"/>
      <c r="M359" s="1"/>
      <c r="N359" s="1"/>
      <c r="O359" s="1"/>
      <c r="P359" s="1"/>
      <c r="Q359" s="1"/>
      <c r="R359" s="1"/>
      <c r="S359" s="1"/>
      <c r="T359" s="1"/>
      <c r="U359" s="1"/>
      <c r="V359" s="1"/>
      <c r="W359" s="1"/>
      <c r="X359" s="1"/>
      <c r="Y359" s="1"/>
      <c r="Z359" s="1"/>
      <c r="AA359" s="1"/>
      <c r="AB359" s="1"/>
      <c r="AC359" s="1"/>
      <c r="AD359" s="1"/>
      <c r="AE359" s="1"/>
      <c r="AF359" s="1">
        <v>42573.25</v>
      </c>
      <c r="AG359" s="1"/>
      <c r="AH359" s="1"/>
      <c r="AI359" s="1"/>
      <c r="AJ359" s="1"/>
      <c r="AK359" s="1"/>
      <c r="AL359" s="1"/>
      <c r="AM359" s="1"/>
      <c r="AN359" s="1"/>
      <c r="AO359" s="1"/>
      <c r="AP359" s="1"/>
      <c r="AQ359" s="1"/>
      <c r="AR359" s="1"/>
      <c r="AS359" s="1"/>
      <c r="AT359" s="1"/>
      <c r="AU359" s="1"/>
      <c r="AV359" s="1">
        <v>42671.25</v>
      </c>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v>42704.25</v>
      </c>
      <c r="BZ359" s="1"/>
      <c r="CA359" s="1"/>
      <c r="CB359" s="1"/>
      <c r="CC359" s="1"/>
      <c r="CD359" s="1"/>
      <c r="CE359" s="1"/>
      <c r="CF359" s="1"/>
      <c r="CG359" s="1"/>
      <c r="CH359" s="1"/>
      <c r="CI359" s="1"/>
      <c r="CJ359" s="1"/>
      <c r="CK359" s="1"/>
      <c r="CL359" s="1"/>
      <c r="CM359" s="1"/>
      <c r="CN359" s="1"/>
      <c r="CO359" s="1"/>
      <c r="CP359" s="1"/>
      <c r="CQ359" s="1"/>
      <c r="CR359" s="1">
        <v>42717.25</v>
      </c>
      <c r="CS359" s="1"/>
      <c r="CT359" s="1"/>
      <c r="CU359" s="1"/>
      <c r="CV359" s="1"/>
      <c r="CW359" s="1"/>
      <c r="CX359" s="1"/>
      <c r="CY359" s="1"/>
      <c r="CZ359" s="1"/>
      <c r="DA359" s="1">
        <v>42786.25</v>
      </c>
      <c r="DB359" s="1"/>
      <c r="DC359" s="1"/>
      <c r="DD359" s="1">
        <v>43004.25</v>
      </c>
      <c r="DE359" s="1"/>
      <c r="DF359" s="1"/>
      <c r="DG359" s="1"/>
      <c r="DH359" s="1">
        <v>42986.25</v>
      </c>
      <c r="DI359" s="1"/>
      <c r="DJ359" s="1">
        <v>43006.25</v>
      </c>
      <c r="DK359" s="1"/>
      <c r="DL359" s="1">
        <v>43010.25</v>
      </c>
      <c r="DM359" s="1"/>
      <c r="DN359" s="1"/>
      <c r="DO359" s="1"/>
      <c r="DP359" s="1"/>
      <c r="DQ359" s="1"/>
      <c r="DR359" s="1"/>
      <c r="DS359" s="1"/>
      <c r="DT359" s="1"/>
      <c r="DU359" s="1"/>
      <c r="DV359" s="1"/>
      <c r="DW359" s="1"/>
      <c r="DX359" s="1"/>
      <c r="DY359" s="1">
        <v>43013.25</v>
      </c>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row>
    <row r="360" spans="1:216" x14ac:dyDescent="0.3">
      <c r="A360" s="3" t="str">
        <f>HYPERLINK("https://hpr-rps.hres.ca/reg-content/summary-basis-decision-detailTwo.php?lang=en&amp;linkID=SBD00369", "Tresiba")</f>
        <v>Tresiba</v>
      </c>
      <c r="B360" s="1" t="s">
        <v>955</v>
      </c>
      <c r="C360" s="1" t="s">
        <v>298</v>
      </c>
      <c r="D360" s="1" t="s">
        <v>956</v>
      </c>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v>40886.25</v>
      </c>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v>41185.25</v>
      </c>
      <c r="BQ360" s="1"/>
      <c r="BR360" s="1"/>
      <c r="BS360" s="1"/>
      <c r="BT360" s="1"/>
      <c r="BU360" s="1"/>
      <c r="BV360" s="1"/>
      <c r="BW360" s="1"/>
      <c r="BX360" s="1"/>
      <c r="BY360" s="1">
        <v>41274.25</v>
      </c>
      <c r="BZ360" s="1"/>
      <c r="CA360" s="1"/>
      <c r="CB360" s="1"/>
      <c r="CC360" s="1"/>
      <c r="CD360" s="1"/>
      <c r="CE360" s="1"/>
      <c r="CF360" s="1"/>
      <c r="CG360" s="1"/>
      <c r="CH360" s="1"/>
      <c r="CI360" s="1"/>
      <c r="CJ360" s="1"/>
      <c r="CK360" s="1"/>
      <c r="CL360" s="1"/>
      <c r="CM360" s="1"/>
      <c r="CN360" s="1"/>
      <c r="CO360" s="1"/>
      <c r="CP360" s="1"/>
      <c r="CQ360" s="1"/>
      <c r="CR360" s="1">
        <v>41318.25</v>
      </c>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v>41467.25</v>
      </c>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v>42674.208333333343</v>
      </c>
      <c r="FE360" s="1"/>
      <c r="FF360" s="1"/>
      <c r="FG360" s="1"/>
      <c r="FH360" s="1"/>
      <c r="FI360" s="1"/>
      <c r="FJ360" s="1"/>
      <c r="FK360" s="1"/>
      <c r="FL360" s="1"/>
      <c r="FM360" s="1"/>
      <c r="FN360" s="1"/>
      <c r="FO360" s="1">
        <v>42908.25</v>
      </c>
      <c r="FP360" s="1">
        <v>42971.25</v>
      </c>
      <c r="FQ360" s="1"/>
      <c r="FR360" s="1"/>
      <c r="FS360" s="1"/>
      <c r="FT360" s="1">
        <v>42781.25</v>
      </c>
      <c r="FU360" s="1"/>
      <c r="FV360" s="1">
        <v>42957.25</v>
      </c>
      <c r="FW360" s="1"/>
      <c r="FX360" s="1">
        <v>42962.25</v>
      </c>
      <c r="FY360" s="1"/>
      <c r="FZ360" s="1"/>
      <c r="GA360" s="1"/>
      <c r="GB360" s="1"/>
      <c r="GC360" s="1"/>
      <c r="GD360" s="1"/>
      <c r="GE360" s="1"/>
      <c r="GF360" s="1"/>
      <c r="GG360" s="1"/>
      <c r="GH360" s="1"/>
      <c r="GI360" s="1"/>
      <c r="GJ360" s="1"/>
      <c r="GK360" s="1">
        <v>42972.25</v>
      </c>
      <c r="GL360" s="1"/>
      <c r="GM360" s="1"/>
      <c r="GN360" s="1"/>
      <c r="GO360" s="1"/>
      <c r="GP360" s="1"/>
      <c r="GQ360" s="1"/>
      <c r="GR360" s="1"/>
      <c r="GS360" s="1"/>
      <c r="GT360" s="1"/>
      <c r="GU360" s="1"/>
      <c r="GV360" s="1"/>
      <c r="GW360" s="1"/>
      <c r="GX360" s="1"/>
      <c r="GY360" s="1"/>
      <c r="GZ360" s="1"/>
      <c r="HA360" s="1"/>
      <c r="HB360" s="1"/>
      <c r="HC360" s="1"/>
      <c r="HD360" s="1"/>
      <c r="HE360" s="1"/>
      <c r="HF360" s="1"/>
      <c r="HG360" s="1"/>
      <c r="HH360" s="1"/>
    </row>
    <row r="361" spans="1:216" x14ac:dyDescent="0.3">
      <c r="A361" s="3" t="str">
        <f>HYPERLINK("https://hpr-rps.hres.ca/reg-content/summary-basis-decision-detailTwo.php?lang=en&amp;linkID=SBD00371", "Maviret")</f>
        <v>Maviret</v>
      </c>
      <c r="B361" s="1" t="s">
        <v>957</v>
      </c>
      <c r="C361" s="1" t="s">
        <v>694</v>
      </c>
      <c r="D361" s="1" t="s">
        <v>958</v>
      </c>
      <c r="E361" s="1">
        <v>42683.25</v>
      </c>
      <c r="F361" s="1"/>
      <c r="G361" s="1"/>
      <c r="H361" s="1"/>
      <c r="I361" s="1"/>
      <c r="J361" s="1"/>
      <c r="K361" s="1"/>
      <c r="L361" s="1"/>
      <c r="M361" s="1"/>
      <c r="N361" s="1">
        <v>42697.25</v>
      </c>
      <c r="O361" s="1"/>
      <c r="P361" s="1"/>
      <c r="Q361" s="1"/>
      <c r="R361" s="1"/>
      <c r="S361" s="1">
        <v>42726.25</v>
      </c>
      <c r="T361" s="1"/>
      <c r="U361" s="1"/>
      <c r="V361" s="1">
        <v>42759.25</v>
      </c>
      <c r="W361" s="1"/>
      <c r="X361" s="1"/>
      <c r="Y361" s="1"/>
      <c r="Z361" s="1"/>
      <c r="AA361" s="1"/>
      <c r="AB361" s="1"/>
      <c r="AC361" s="1"/>
      <c r="AD361" s="1"/>
      <c r="AE361" s="1"/>
      <c r="AF361" s="1">
        <v>42776.25</v>
      </c>
      <c r="AG361" s="1"/>
      <c r="AH361" s="1"/>
      <c r="AI361" s="1"/>
      <c r="AJ361" s="1"/>
      <c r="AK361" s="1"/>
      <c r="AL361" s="1"/>
      <c r="AM361" s="1"/>
      <c r="AN361" s="1"/>
      <c r="AO361" s="1"/>
      <c r="AP361" s="1"/>
      <c r="AQ361" s="1">
        <v>42942.25</v>
      </c>
      <c r="AR361" s="1">
        <v>42962.25</v>
      </c>
      <c r="AS361" s="1">
        <v>42884.25</v>
      </c>
      <c r="AT361" s="1"/>
      <c r="AU361" s="1"/>
      <c r="AV361" s="1">
        <v>42962.25</v>
      </c>
      <c r="AW361" s="1"/>
      <c r="AX361" s="1"/>
      <c r="AY361" s="1"/>
      <c r="AZ361" s="1">
        <v>42963.25</v>
      </c>
      <c r="BA361" s="1"/>
      <c r="BB361" s="1"/>
      <c r="BC361" s="1"/>
      <c r="BD361" s="1"/>
      <c r="BE361" s="1"/>
      <c r="BF361" s="1"/>
      <c r="BG361" s="1"/>
      <c r="BH361" s="1"/>
      <c r="BI361" s="1"/>
      <c r="BJ361" s="1"/>
      <c r="BK361" s="1"/>
      <c r="BL361" s="1"/>
      <c r="BM361" s="1">
        <v>42963.25</v>
      </c>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row>
    <row r="362" spans="1:216" x14ac:dyDescent="0.3">
      <c r="A362" s="3" t="str">
        <f>HYPERLINK("https://hpr-rps.hres.ca/reg-content/summary-basis-decision-detailTwo.php?lang=en&amp;linkID=SBD00372", "Galafold")</f>
        <v>Galafold</v>
      </c>
      <c r="B362" s="1" t="s">
        <v>959</v>
      </c>
      <c r="C362" s="1" t="s">
        <v>960</v>
      </c>
      <c r="D362" s="1" t="s">
        <v>961</v>
      </c>
      <c r="E362" s="1">
        <v>42436.25</v>
      </c>
      <c r="F362" s="1"/>
      <c r="G362" s="1"/>
      <c r="H362" s="1">
        <v>42566.25</v>
      </c>
      <c r="I362" s="1"/>
      <c r="J362" s="1"/>
      <c r="K362" s="1"/>
      <c r="L362" s="1"/>
      <c r="M362" s="1"/>
      <c r="N362" s="1"/>
      <c r="O362" s="1"/>
      <c r="P362" s="1"/>
      <c r="Q362" s="1"/>
      <c r="R362" s="1"/>
      <c r="S362" s="1"/>
      <c r="T362" s="1"/>
      <c r="U362" s="1"/>
      <c r="V362" s="1"/>
      <c r="W362" s="1"/>
      <c r="X362" s="1"/>
      <c r="Y362" s="1"/>
      <c r="Z362" s="1">
        <v>42619.25</v>
      </c>
      <c r="AA362" s="1"/>
      <c r="AB362" s="1"/>
      <c r="AC362" s="1">
        <v>42639.25</v>
      </c>
      <c r="AD362" s="1"/>
      <c r="AE362" s="1"/>
      <c r="AF362" s="1">
        <v>42682.25</v>
      </c>
      <c r="AG362" s="1"/>
      <c r="AH362" s="1"/>
      <c r="AI362" s="1"/>
      <c r="AJ362" s="1"/>
      <c r="AK362" s="1"/>
      <c r="AL362" s="1"/>
      <c r="AM362" s="1"/>
      <c r="AN362" s="1"/>
      <c r="AO362" s="1"/>
      <c r="AP362" s="1"/>
      <c r="AQ362" s="1">
        <v>42943.25</v>
      </c>
      <c r="AR362" s="1">
        <v>42978.25</v>
      </c>
      <c r="AS362" s="1">
        <v>42921.25</v>
      </c>
      <c r="AT362" s="1"/>
      <c r="AU362" s="1"/>
      <c r="AV362" s="1">
        <v>42970.25</v>
      </c>
      <c r="AW362" s="1"/>
      <c r="AX362" s="1"/>
      <c r="AY362" s="1"/>
      <c r="AZ362" s="1">
        <v>42977.25</v>
      </c>
      <c r="BA362" s="1"/>
      <c r="BB362" s="1"/>
      <c r="BC362" s="1"/>
      <c r="BD362" s="1"/>
      <c r="BE362" s="1"/>
      <c r="BF362" s="1"/>
      <c r="BG362" s="1"/>
      <c r="BH362" s="1"/>
      <c r="BI362" s="1"/>
      <c r="BJ362" s="1"/>
      <c r="BK362" s="1"/>
      <c r="BL362" s="1"/>
      <c r="BM362" s="1">
        <v>42983.25</v>
      </c>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row>
    <row r="363" spans="1:216" x14ac:dyDescent="0.3">
      <c r="A363" s="3" t="str">
        <f>HYPERLINK("https://hpr-rps.hres.ca/reg-content/summary-basis-decision-detailTwo.php?lang=en&amp;linkID=SBD00373", "Prevymis")</f>
        <v>Prevymis</v>
      </c>
      <c r="B363" s="1" t="s">
        <v>962</v>
      </c>
      <c r="C363" s="1" t="s">
        <v>415</v>
      </c>
      <c r="D363" s="1" t="s">
        <v>963</v>
      </c>
      <c r="E363" s="1">
        <v>42760.25</v>
      </c>
      <c r="F363" s="1"/>
      <c r="G363" s="1"/>
      <c r="H363" s="1"/>
      <c r="I363" s="1"/>
      <c r="J363" s="1"/>
      <c r="K363" s="1"/>
      <c r="L363" s="1"/>
      <c r="M363" s="1"/>
      <c r="N363" s="1">
        <v>42790.25</v>
      </c>
      <c r="O363" s="1"/>
      <c r="P363" s="1"/>
      <c r="Q363" s="1"/>
      <c r="R363" s="1"/>
      <c r="S363" s="1">
        <v>42823.25</v>
      </c>
      <c r="T363" s="1"/>
      <c r="U363" s="1"/>
      <c r="V363" s="1">
        <v>42835.25</v>
      </c>
      <c r="W363" s="1"/>
      <c r="X363" s="1"/>
      <c r="Y363" s="1"/>
      <c r="Z363" s="1"/>
      <c r="AA363" s="1"/>
      <c r="AB363" s="1"/>
      <c r="AC363" s="1"/>
      <c r="AD363" s="1"/>
      <c r="AE363" s="1"/>
      <c r="AF363" s="1">
        <v>42860.25</v>
      </c>
      <c r="AG363" s="1"/>
      <c r="AH363" s="1"/>
      <c r="AI363" s="1"/>
      <c r="AJ363" s="1"/>
      <c r="AK363" s="1"/>
      <c r="AL363" s="1"/>
      <c r="AM363" s="1"/>
      <c r="AN363" s="1"/>
      <c r="AO363" s="1"/>
      <c r="AP363" s="1"/>
      <c r="AQ363" s="1">
        <v>43033.25</v>
      </c>
      <c r="AR363" s="1">
        <v>43039.208333333343</v>
      </c>
      <c r="AS363" s="1"/>
      <c r="AT363" s="1"/>
      <c r="AU363" s="1"/>
      <c r="AV363" s="1">
        <v>43039.208333333343</v>
      </c>
      <c r="AW363" s="1"/>
      <c r="AX363" s="1"/>
      <c r="AY363" s="1"/>
      <c r="AZ363" s="1">
        <v>43039.208333333343</v>
      </c>
      <c r="BA363" s="1"/>
      <c r="BB363" s="1"/>
      <c r="BC363" s="1"/>
      <c r="BD363" s="1"/>
      <c r="BE363" s="1"/>
      <c r="BF363" s="1"/>
      <c r="BG363" s="1"/>
      <c r="BH363" s="1"/>
      <c r="BI363" s="1"/>
      <c r="BJ363" s="1"/>
      <c r="BK363" s="1"/>
      <c r="BL363" s="1"/>
      <c r="BM363" s="1">
        <v>43040.208333333343</v>
      </c>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row>
    <row r="364" spans="1:216" x14ac:dyDescent="0.3">
      <c r="A364" s="3" t="str">
        <f>HYPERLINK("https://hpr-rps.hres.ca/reg-content/summary-basis-decision-detailTwo.php?lang=en&amp;linkID=SBD00374", "Admelog")</f>
        <v>Admelog</v>
      </c>
      <c r="B364" s="1" t="s">
        <v>964</v>
      </c>
      <c r="C364" s="1" t="s">
        <v>754</v>
      </c>
      <c r="D364" s="1" t="s">
        <v>965</v>
      </c>
      <c r="E364" s="1">
        <v>42641.25</v>
      </c>
      <c r="F364" s="1"/>
      <c r="G364" s="1"/>
      <c r="H364" s="1">
        <v>42704.25</v>
      </c>
      <c r="I364" s="1"/>
      <c r="J364" s="1"/>
      <c r="K364" s="1"/>
      <c r="L364" s="1"/>
      <c r="M364" s="1"/>
      <c r="N364" s="1"/>
      <c r="O364" s="1"/>
      <c r="P364" s="1"/>
      <c r="Q364" s="1"/>
      <c r="R364" s="1"/>
      <c r="S364" s="1"/>
      <c r="T364" s="1"/>
      <c r="U364" s="1"/>
      <c r="V364" s="1"/>
      <c r="W364" s="1"/>
      <c r="X364" s="1"/>
      <c r="Y364" s="1"/>
      <c r="Z364" s="1"/>
      <c r="AA364" s="1"/>
      <c r="AB364" s="1"/>
      <c r="AC364" s="1"/>
      <c r="AD364" s="1"/>
      <c r="AE364" s="1"/>
      <c r="AF364" s="1">
        <v>42755.25</v>
      </c>
      <c r="AG364" s="1"/>
      <c r="AH364" s="1"/>
      <c r="AI364" s="1"/>
      <c r="AJ364" s="1"/>
      <c r="AK364" s="1"/>
      <c r="AL364" s="1"/>
      <c r="AM364" s="1"/>
      <c r="AN364" s="1"/>
      <c r="AO364" s="1">
        <v>42814.208333333343</v>
      </c>
      <c r="AP364" s="1"/>
      <c r="AQ364" s="1">
        <v>42920.25</v>
      </c>
      <c r="AR364" s="1">
        <v>43054.25</v>
      </c>
      <c r="AS364" s="1"/>
      <c r="AT364" s="1"/>
      <c r="AU364" s="1"/>
      <c r="AV364" s="1">
        <v>43019.25</v>
      </c>
      <c r="AW364" s="1"/>
      <c r="AX364" s="1">
        <v>43048.25</v>
      </c>
      <c r="AY364" s="1"/>
      <c r="AZ364" s="1">
        <v>43048.25</v>
      </c>
      <c r="BA364" s="1"/>
      <c r="BB364" s="1"/>
      <c r="BC364" s="1"/>
      <c r="BD364" s="1"/>
      <c r="BE364" s="1"/>
      <c r="BF364" s="1"/>
      <c r="BG364" s="1"/>
      <c r="BH364" s="1"/>
      <c r="BI364" s="1"/>
      <c r="BJ364" s="1"/>
      <c r="BK364" s="1"/>
      <c r="BL364" s="1"/>
      <c r="BM364" s="1">
        <v>43055.25</v>
      </c>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row>
    <row r="365" spans="1:216" x14ac:dyDescent="0.3">
      <c r="A365" s="3" t="str">
        <f>HYPERLINK("https://hpr-rps.hres.ca/reg-content/summary-basis-decision-detailTwo.php?lang=en&amp;linkID=SBD00375", "Akynzeo")</f>
        <v>Akynzeo</v>
      </c>
      <c r="B365" s="1" t="s">
        <v>966</v>
      </c>
      <c r="C365" s="1" t="s">
        <v>967</v>
      </c>
      <c r="D365" s="1" t="s">
        <v>968</v>
      </c>
      <c r="E365" s="1"/>
      <c r="F365" s="1"/>
      <c r="G365" s="1"/>
      <c r="H365" s="1">
        <v>42646.25</v>
      </c>
      <c r="I365" s="1"/>
      <c r="J365" s="1"/>
      <c r="K365" s="1"/>
      <c r="L365" s="1"/>
      <c r="M365" s="1"/>
      <c r="N365" s="1"/>
      <c r="O365" s="1"/>
      <c r="P365" s="1"/>
      <c r="Q365" s="1"/>
      <c r="R365" s="1"/>
      <c r="S365" s="1"/>
      <c r="T365" s="1"/>
      <c r="U365" s="1"/>
      <c r="V365" s="1"/>
      <c r="W365" s="1"/>
      <c r="X365" s="1"/>
      <c r="Y365" s="1"/>
      <c r="Z365" s="1"/>
      <c r="AA365" s="1"/>
      <c r="AB365" s="1"/>
      <c r="AC365" s="1"/>
      <c r="AD365" s="1"/>
      <c r="AE365" s="1"/>
      <c r="AF365" s="1">
        <v>42706.25</v>
      </c>
      <c r="AG365" s="1"/>
      <c r="AH365" s="1"/>
      <c r="AI365" s="1"/>
      <c r="AJ365" s="1"/>
      <c r="AK365" s="1"/>
      <c r="AL365" s="1"/>
      <c r="AM365" s="1"/>
      <c r="AN365" s="1"/>
      <c r="AO365" s="1"/>
      <c r="AP365" s="1"/>
      <c r="AQ365" s="1">
        <v>42998.25</v>
      </c>
      <c r="AR365" s="1">
        <v>42999.25</v>
      </c>
      <c r="AS365" s="1">
        <v>42963.25</v>
      </c>
      <c r="AT365" s="1"/>
      <c r="AU365" s="1"/>
      <c r="AV365" s="1">
        <v>43005.25</v>
      </c>
      <c r="AW365" s="1"/>
      <c r="AX365" s="1"/>
      <c r="AY365" s="1"/>
      <c r="AZ365" s="1">
        <v>43004.25</v>
      </c>
      <c r="BA365" s="1"/>
      <c r="BB365" s="1"/>
      <c r="BC365" s="1"/>
      <c r="BD365" s="1"/>
      <c r="BE365" s="1"/>
      <c r="BF365" s="1"/>
      <c r="BG365" s="1"/>
      <c r="BH365" s="1"/>
      <c r="BI365" s="1"/>
      <c r="BJ365" s="1"/>
      <c r="BK365" s="1"/>
      <c r="BL365" s="1"/>
      <c r="BM365" s="1">
        <v>43006.25</v>
      </c>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row>
    <row r="366" spans="1:216" x14ac:dyDescent="0.3">
      <c r="A366" s="3" t="str">
        <f>HYPERLINK("https://hpr-rps.hres.ca/reg-content/summary-basis-decision-detailTwo.php?lang=en&amp;linkID=SBD00376", "Anthrasil")</f>
        <v>Anthrasil</v>
      </c>
      <c r="B366" s="1" t="s">
        <v>969</v>
      </c>
      <c r="C366" s="1" t="s">
        <v>970</v>
      </c>
      <c r="D366" s="1" t="s">
        <v>971</v>
      </c>
      <c r="E366" s="1">
        <v>42570.25</v>
      </c>
      <c r="F366" s="1"/>
      <c r="G366" s="1"/>
      <c r="H366" s="1">
        <v>42698.25</v>
      </c>
      <c r="I366" s="1"/>
      <c r="J366" s="1"/>
      <c r="K366" s="1"/>
      <c r="L366" s="1"/>
      <c r="M366" s="1"/>
      <c r="N366" s="1"/>
      <c r="O366" s="1"/>
      <c r="P366" s="1"/>
      <c r="Q366" s="1"/>
      <c r="R366" s="1"/>
      <c r="S366" s="1"/>
      <c r="T366" s="1"/>
      <c r="U366" s="1"/>
      <c r="V366" s="1"/>
      <c r="W366" s="1"/>
      <c r="X366" s="1"/>
      <c r="Y366" s="1"/>
      <c r="Z366" s="1"/>
      <c r="AA366" s="1"/>
      <c r="AB366" s="1"/>
      <c r="AC366" s="1"/>
      <c r="AD366" s="1"/>
      <c r="AE366" s="1"/>
      <c r="AF366" s="1">
        <v>42747.25</v>
      </c>
      <c r="AG366" s="1"/>
      <c r="AH366" s="1"/>
      <c r="AI366" s="1"/>
      <c r="AJ366" s="1"/>
      <c r="AK366" s="1"/>
      <c r="AL366" s="1"/>
      <c r="AM366" s="1"/>
      <c r="AN366" s="1"/>
      <c r="AO366" s="1"/>
      <c r="AP366" s="1"/>
      <c r="AQ366" s="1">
        <v>42964.25</v>
      </c>
      <c r="AR366" s="1">
        <v>43041.208333333343</v>
      </c>
      <c r="AS366" s="1"/>
      <c r="AT366" s="1"/>
      <c r="AU366" s="1"/>
      <c r="AV366" s="1">
        <v>42997.25</v>
      </c>
      <c r="AW366" s="1"/>
      <c r="AX366" s="1"/>
      <c r="AY366" s="1"/>
      <c r="AZ366" s="1">
        <v>43018.25</v>
      </c>
      <c r="BA366" s="1"/>
      <c r="BB366" s="1"/>
      <c r="BC366" s="1"/>
      <c r="BD366" s="1"/>
      <c r="BE366" s="1"/>
      <c r="BF366" s="1"/>
      <c r="BG366" s="1"/>
      <c r="BH366" s="1"/>
      <c r="BI366" s="1"/>
      <c r="BJ366" s="1"/>
      <c r="BK366" s="1"/>
      <c r="BL366" s="1"/>
      <c r="BM366" s="1">
        <v>43045.25</v>
      </c>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row>
    <row r="367" spans="1:216" x14ac:dyDescent="0.3">
      <c r="A367" s="3" t="str">
        <f>HYPERLINK("https://hpr-rps.hres.ca/reg-content/summary-basis-decision-detailTwo.php?lang=en&amp;linkID=SBD00377", "Shingrix")</f>
        <v>Shingrix</v>
      </c>
      <c r="B367" s="1" t="s">
        <v>972</v>
      </c>
      <c r="C367" s="1" t="s">
        <v>96</v>
      </c>
      <c r="D367" s="1" t="s">
        <v>973</v>
      </c>
      <c r="E367" s="1">
        <v>42292.25</v>
      </c>
      <c r="F367" s="1"/>
      <c r="G367" s="1"/>
      <c r="H367" s="1">
        <v>42691.25</v>
      </c>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row>
    <row r="368" spans="1:216" x14ac:dyDescent="0.3">
      <c r="A368" s="3" t="str">
        <f>HYPERLINK("https://hpr-rps.hres.ca/reg-content/summary-basis-decision-detailTwo.php?lang=en&amp;linkID=SBD00378", "Rebinyn")</f>
        <v>Rebinyn</v>
      </c>
      <c r="B368" s="1" t="s">
        <v>974</v>
      </c>
      <c r="C368" s="1" t="s">
        <v>298</v>
      </c>
      <c r="D368" s="1" t="s">
        <v>975</v>
      </c>
      <c r="E368" s="1">
        <v>42472.25</v>
      </c>
      <c r="F368" s="1"/>
      <c r="G368" s="1"/>
      <c r="H368" s="1">
        <v>42716.25</v>
      </c>
      <c r="I368" s="1"/>
      <c r="J368" s="1"/>
      <c r="K368" s="1"/>
      <c r="L368" s="1"/>
      <c r="M368" s="1"/>
      <c r="N368" s="1"/>
      <c r="O368" s="1"/>
      <c r="P368" s="1"/>
      <c r="Q368" s="1"/>
      <c r="R368" s="1"/>
      <c r="S368" s="1"/>
      <c r="T368" s="1"/>
      <c r="U368" s="1"/>
      <c r="V368" s="1"/>
      <c r="W368" s="1"/>
      <c r="X368" s="1"/>
      <c r="Y368" s="1"/>
      <c r="Z368" s="1"/>
      <c r="AA368" s="1"/>
      <c r="AB368" s="1"/>
      <c r="AC368" s="1"/>
      <c r="AD368" s="1"/>
      <c r="AE368" s="1"/>
      <c r="AF368" s="1">
        <v>42768.25</v>
      </c>
      <c r="AG368" s="1"/>
      <c r="AH368" s="1"/>
      <c r="AI368" s="1"/>
      <c r="AJ368" s="1"/>
      <c r="AK368" s="1"/>
      <c r="AL368" s="1"/>
      <c r="AM368" s="1"/>
      <c r="AN368" s="1"/>
      <c r="AO368" s="1"/>
      <c r="AP368" s="1"/>
      <c r="AQ368" s="1">
        <v>43027.25</v>
      </c>
      <c r="AR368" s="1">
        <v>43062.25</v>
      </c>
      <c r="AS368" s="1"/>
      <c r="AT368" s="1"/>
      <c r="AU368" s="1"/>
      <c r="AV368" s="1">
        <v>43063.25</v>
      </c>
      <c r="AW368" s="1"/>
      <c r="AX368" s="1"/>
      <c r="AY368" s="1"/>
      <c r="AZ368" s="1">
        <v>43060.25</v>
      </c>
      <c r="BA368" s="1"/>
      <c r="BB368" s="1"/>
      <c r="BC368" s="1"/>
      <c r="BD368" s="1"/>
      <c r="BE368" s="1"/>
      <c r="BF368" s="1"/>
      <c r="BG368" s="1"/>
      <c r="BH368" s="1"/>
      <c r="BI368" s="1"/>
      <c r="BJ368" s="1"/>
      <c r="BK368" s="1"/>
      <c r="BL368" s="1"/>
      <c r="BM368" s="1">
        <v>43068.25</v>
      </c>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row>
    <row r="369" spans="1:216" x14ac:dyDescent="0.3">
      <c r="A369" s="3" t="str">
        <f>HYPERLINK("https://hpr-rps.hres.ca/reg-content/summary-basis-decision-detailTwo.php?lang=en&amp;linkID=SBD00379", "Renflexis")</f>
        <v>Renflexis</v>
      </c>
      <c r="B369" s="1" t="s">
        <v>698</v>
      </c>
      <c r="C369" s="1" t="s">
        <v>869</v>
      </c>
      <c r="D369" s="1" t="s">
        <v>976</v>
      </c>
      <c r="E369" s="1">
        <v>42192.25</v>
      </c>
      <c r="F369" s="1"/>
      <c r="G369" s="1"/>
      <c r="H369" s="1">
        <v>42277.25</v>
      </c>
      <c r="I369" s="1"/>
      <c r="J369" s="1"/>
      <c r="K369" s="1"/>
      <c r="L369" s="1"/>
      <c r="M369" s="1"/>
      <c r="N369" s="1"/>
      <c r="O369" s="1"/>
      <c r="P369" s="1"/>
      <c r="Q369" s="1"/>
      <c r="R369" s="1"/>
      <c r="S369" s="1"/>
      <c r="T369" s="1"/>
      <c r="U369" s="1"/>
      <c r="V369" s="1"/>
      <c r="W369" s="1"/>
      <c r="X369" s="1"/>
      <c r="Y369" s="1"/>
      <c r="Z369" s="1"/>
      <c r="AA369" s="1"/>
      <c r="AB369" s="1"/>
      <c r="AC369" s="1"/>
      <c r="AD369" s="1"/>
      <c r="AE369" s="1"/>
      <c r="AF369" s="1">
        <v>42349.25</v>
      </c>
      <c r="AG369" s="1"/>
      <c r="AH369" s="1"/>
      <c r="AI369" s="1"/>
      <c r="AJ369" s="1"/>
      <c r="AK369" s="1"/>
      <c r="AL369" s="1"/>
      <c r="AM369" s="1"/>
      <c r="AN369" s="1"/>
      <c r="AO369" s="1"/>
      <c r="AP369" s="1"/>
      <c r="AQ369" s="1">
        <v>42485.25</v>
      </c>
      <c r="AR369" s="1">
        <v>42542.25</v>
      </c>
      <c r="AS369" s="1"/>
      <c r="AT369" s="1"/>
      <c r="AU369" s="1"/>
      <c r="AV369" s="1"/>
      <c r="AW369" s="1"/>
      <c r="AX369" s="1">
        <v>42619.25</v>
      </c>
      <c r="AY369" s="1"/>
      <c r="AZ369" s="1">
        <v>42619.25</v>
      </c>
      <c r="BA369" s="1"/>
      <c r="BB369" s="1"/>
      <c r="BC369" s="1"/>
      <c r="BD369" s="1"/>
      <c r="BE369" s="1"/>
      <c r="BF369" s="1"/>
      <c r="BG369" s="1"/>
      <c r="BH369" s="1"/>
      <c r="BI369" s="1"/>
      <c r="BJ369" s="1"/>
      <c r="BK369" s="1"/>
      <c r="BL369" s="1"/>
      <c r="BM369" s="1"/>
      <c r="BN369" s="1"/>
      <c r="BO369" s="1"/>
      <c r="BP369" s="1">
        <v>42649.25</v>
      </c>
      <c r="BQ369" s="1"/>
      <c r="BR369" s="1"/>
      <c r="BS369" s="1"/>
      <c r="BT369" s="1"/>
      <c r="BU369" s="1">
        <v>42752.25</v>
      </c>
      <c r="BV369" s="1"/>
      <c r="BW369" s="1"/>
      <c r="BX369" s="1"/>
      <c r="BY369" s="1"/>
      <c r="BZ369" s="1"/>
      <c r="CA369" s="1"/>
      <c r="CB369" s="1"/>
      <c r="CC369" s="1"/>
      <c r="CD369" s="1"/>
      <c r="CE369" s="1"/>
      <c r="CF369" s="1"/>
      <c r="CG369" s="1"/>
      <c r="CH369" s="1"/>
      <c r="CI369" s="1"/>
      <c r="CJ369" s="1"/>
      <c r="CK369" s="1"/>
      <c r="CL369" s="1"/>
      <c r="CM369" s="1"/>
      <c r="CN369" s="1"/>
      <c r="CO369" s="1"/>
      <c r="CP369" s="1"/>
      <c r="CQ369" s="1"/>
      <c r="CR369" s="1">
        <v>42772.25</v>
      </c>
      <c r="CS369" s="1"/>
      <c r="CT369" s="1"/>
      <c r="CU369" s="1"/>
      <c r="CV369" s="1"/>
      <c r="CW369" s="1"/>
      <c r="CX369" s="1"/>
      <c r="CY369" s="1"/>
      <c r="CZ369" s="1"/>
      <c r="DA369" s="1"/>
      <c r="DB369" s="1"/>
      <c r="DC369" s="1"/>
      <c r="DD369" s="1">
        <v>43069.25</v>
      </c>
      <c r="DE369" s="1"/>
      <c r="DF369" s="1"/>
      <c r="DG369" s="1"/>
      <c r="DH369" s="1">
        <v>43069.25</v>
      </c>
      <c r="DI369" s="1"/>
      <c r="DJ369" s="1">
        <v>43049.25</v>
      </c>
      <c r="DK369" s="1"/>
      <c r="DL369" s="1">
        <v>43049.25</v>
      </c>
      <c r="DM369" s="1"/>
      <c r="DN369" s="1"/>
      <c r="DO369" s="1"/>
      <c r="DP369" s="1"/>
      <c r="DQ369" s="1"/>
      <c r="DR369" s="1"/>
      <c r="DS369" s="1"/>
      <c r="DT369" s="1"/>
      <c r="DU369" s="1"/>
      <c r="DV369" s="1"/>
      <c r="DW369" s="1"/>
      <c r="DX369" s="1"/>
      <c r="DY369" s="1">
        <v>43070.25</v>
      </c>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row>
    <row r="370" spans="1:216" x14ac:dyDescent="0.3">
      <c r="A370" s="3" t="str">
        <f>HYPERLINK("https://hpr-rps.hres.ca/reg-content/summary-basis-decision-detailTwo.php?lang=en&amp;linkID=SBD00386", "Velphoro")</f>
        <v>Velphoro</v>
      </c>
      <c r="B370" s="1" t="s">
        <v>977</v>
      </c>
      <c r="C370" s="1" t="s">
        <v>978</v>
      </c>
      <c r="D370" s="1" t="s">
        <v>979</v>
      </c>
      <c r="E370" s="1">
        <v>42662.25</v>
      </c>
      <c r="F370" s="1"/>
      <c r="G370" s="1"/>
      <c r="H370" s="1">
        <v>42726.25</v>
      </c>
      <c r="I370" s="1"/>
      <c r="J370" s="1"/>
      <c r="K370" s="1"/>
      <c r="L370" s="1"/>
      <c r="M370" s="1"/>
      <c r="N370" s="1"/>
      <c r="O370" s="1"/>
      <c r="P370" s="1"/>
      <c r="Q370" s="1"/>
      <c r="R370" s="1"/>
      <c r="S370" s="1"/>
      <c r="T370" s="1"/>
      <c r="U370" s="1"/>
      <c r="V370" s="1"/>
      <c r="W370" s="1"/>
      <c r="X370" s="1"/>
      <c r="Y370" s="1"/>
      <c r="Z370" s="1"/>
      <c r="AA370" s="1"/>
      <c r="AB370" s="1"/>
      <c r="AC370" s="1"/>
      <c r="AD370" s="1"/>
      <c r="AE370" s="1"/>
      <c r="AF370" s="1">
        <v>42782.25</v>
      </c>
      <c r="AG370" s="1"/>
      <c r="AH370" s="1"/>
      <c r="AI370" s="1"/>
      <c r="AJ370" s="1"/>
      <c r="AK370" s="1"/>
      <c r="AL370" s="1"/>
      <c r="AM370" s="1"/>
      <c r="AN370" s="1"/>
      <c r="AO370" s="1"/>
      <c r="AP370" s="1"/>
      <c r="AQ370" s="1">
        <v>43027.25</v>
      </c>
      <c r="AR370" s="1">
        <v>43020.25</v>
      </c>
      <c r="AS370" s="1"/>
      <c r="AT370" s="1"/>
      <c r="AU370" s="1"/>
      <c r="AV370" s="1">
        <v>43103.25</v>
      </c>
      <c r="AW370" s="1"/>
      <c r="AX370" s="1"/>
      <c r="AY370" s="1"/>
      <c r="AZ370" s="1">
        <v>43103.25</v>
      </c>
      <c r="BA370" s="1"/>
      <c r="BB370" s="1"/>
      <c r="BC370" s="1"/>
      <c r="BD370" s="1"/>
      <c r="BE370" s="1"/>
      <c r="BF370" s="1"/>
      <c r="BG370" s="1"/>
      <c r="BH370" s="1"/>
      <c r="BI370" s="1"/>
      <c r="BJ370" s="1"/>
      <c r="BK370" s="1"/>
      <c r="BL370" s="1"/>
      <c r="BM370" s="1">
        <v>43105.25</v>
      </c>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row>
    <row r="371" spans="1:216" x14ac:dyDescent="0.3">
      <c r="A371" s="3" t="str">
        <f>HYPERLINK("https://hpr-rps.hres.ca/reg-content/summary-basis-decision-detailTwo.php?lang=en&amp;linkID=SBD00380", "Lartruvo")</f>
        <v>Lartruvo</v>
      </c>
      <c r="B371" s="1" t="s">
        <v>980</v>
      </c>
      <c r="C371" s="1" t="s">
        <v>140</v>
      </c>
      <c r="D371" s="1" t="s">
        <v>981</v>
      </c>
      <c r="E371" s="1">
        <v>42690.25</v>
      </c>
      <c r="F371" s="1"/>
      <c r="G371" s="1">
        <v>42772.25</v>
      </c>
      <c r="H371" s="1">
        <v>42800.25</v>
      </c>
      <c r="I371" s="1"/>
      <c r="J371" s="1"/>
      <c r="K371" s="1"/>
      <c r="L371" s="1"/>
      <c r="M371" s="1"/>
      <c r="N371" s="1"/>
      <c r="O371" s="1"/>
      <c r="P371" s="1"/>
      <c r="Q371" s="1"/>
      <c r="R371" s="1"/>
      <c r="S371" s="1"/>
      <c r="T371" s="1"/>
      <c r="U371" s="1"/>
      <c r="V371" s="1"/>
      <c r="W371" s="1"/>
      <c r="X371" s="1"/>
      <c r="Y371" s="1"/>
      <c r="Z371" s="1"/>
      <c r="AA371" s="1"/>
      <c r="AB371" s="1"/>
      <c r="AC371" s="1"/>
      <c r="AD371" s="1"/>
      <c r="AE371" s="1"/>
      <c r="AF371" s="1">
        <v>42831.25</v>
      </c>
      <c r="AG371" s="1"/>
      <c r="AH371" s="1"/>
      <c r="AI371" s="1"/>
      <c r="AJ371" s="1"/>
      <c r="AK371" s="1"/>
      <c r="AL371" s="1"/>
      <c r="AM371" s="1"/>
      <c r="AN371" s="1"/>
      <c r="AO371" s="1">
        <v>42968.25</v>
      </c>
      <c r="AP371" s="1"/>
      <c r="AQ371" s="1">
        <v>42937.25</v>
      </c>
      <c r="AR371" s="1">
        <v>43025.25</v>
      </c>
      <c r="AS371" s="1"/>
      <c r="AT371" s="1"/>
      <c r="AU371" s="1"/>
      <c r="AV371" s="1">
        <v>43024.25</v>
      </c>
      <c r="AW371" s="1"/>
      <c r="AX371" s="1"/>
      <c r="AY371" s="1"/>
      <c r="AZ371" s="1">
        <v>43027.25</v>
      </c>
      <c r="BA371" s="1"/>
      <c r="BB371" s="1"/>
      <c r="BC371" s="1"/>
      <c r="BD371" s="1"/>
      <c r="BE371" s="1"/>
      <c r="BF371" s="1"/>
      <c r="BG371" s="1"/>
      <c r="BH371" s="1"/>
      <c r="BI371" s="1"/>
      <c r="BJ371" s="1"/>
      <c r="BK371" s="1">
        <v>43031.25</v>
      </c>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v>43061.25</v>
      </c>
      <c r="CN371" s="1"/>
      <c r="CO371" s="1"/>
      <c r="CP371" s="1"/>
      <c r="CQ371" s="1"/>
      <c r="CR371" s="1"/>
      <c r="CS371" s="1"/>
      <c r="CT371" s="1"/>
      <c r="CU371" s="1">
        <v>43055.25</v>
      </c>
      <c r="CV371" s="1"/>
      <c r="CW371" s="1"/>
      <c r="CX371" s="1"/>
      <c r="CY371" s="1"/>
      <c r="CZ371" s="1"/>
      <c r="DA371" s="1"/>
      <c r="DB371" s="1"/>
      <c r="DC371" s="1"/>
      <c r="DD371" s="1"/>
      <c r="DE371" s="1"/>
      <c r="DF371" s="1"/>
      <c r="DG371" s="1">
        <v>43062.25</v>
      </c>
      <c r="DH371" s="1"/>
      <c r="DI371" s="1"/>
      <c r="DJ371" s="1"/>
      <c r="DK371" s="1"/>
      <c r="DL371" s="1"/>
      <c r="DM371" s="1"/>
      <c r="DN371" s="1"/>
      <c r="DO371" s="1"/>
      <c r="DP371" s="1"/>
      <c r="DQ371" s="1"/>
      <c r="DR371" s="1"/>
      <c r="DS371" s="1"/>
      <c r="DT371" s="1">
        <v>43035.25</v>
      </c>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row>
    <row r="372" spans="1:216" x14ac:dyDescent="0.3">
      <c r="A372" s="3" t="str">
        <f>HYPERLINK("https://hpr-rps.hres.ca/reg-content/summary-basis-decision-detailTwo.php?lang=en&amp;linkID=SBD00381", "Dupixent")</f>
        <v>Dupixent</v>
      </c>
      <c r="B372" s="1" t="s">
        <v>982</v>
      </c>
      <c r="C372" s="1" t="s">
        <v>754</v>
      </c>
      <c r="D372" s="1" t="s">
        <v>983</v>
      </c>
      <c r="E372" s="1">
        <v>42662.25</v>
      </c>
      <c r="F372" s="1"/>
      <c r="G372" s="1"/>
      <c r="H372" s="1">
        <v>42720.25</v>
      </c>
      <c r="I372" s="1"/>
      <c r="J372" s="1"/>
      <c r="K372" s="1"/>
      <c r="L372" s="1"/>
      <c r="M372" s="1"/>
      <c r="N372" s="1"/>
      <c r="O372" s="1"/>
      <c r="P372" s="1"/>
      <c r="Q372" s="1"/>
      <c r="R372" s="1"/>
      <c r="S372" s="1"/>
      <c r="T372" s="1"/>
      <c r="U372" s="1"/>
      <c r="V372" s="1"/>
      <c r="W372" s="1"/>
      <c r="X372" s="1"/>
      <c r="Y372" s="1"/>
      <c r="Z372" s="1"/>
      <c r="AA372" s="1"/>
      <c r="AB372" s="1"/>
      <c r="AC372" s="1"/>
      <c r="AD372" s="1"/>
      <c r="AE372" s="1"/>
      <c r="AF372" s="1">
        <v>42769.25</v>
      </c>
      <c r="AG372" s="1"/>
      <c r="AH372" s="1"/>
      <c r="AI372" s="1"/>
      <c r="AJ372" s="1"/>
      <c r="AK372" s="1"/>
      <c r="AL372" s="1"/>
      <c r="AM372" s="1"/>
      <c r="AN372" s="1"/>
      <c r="AO372" s="1"/>
      <c r="AP372" s="1"/>
      <c r="AQ372" s="1">
        <v>43059.25</v>
      </c>
      <c r="AR372" s="1">
        <v>43068.25</v>
      </c>
      <c r="AS372" s="1"/>
      <c r="AT372" s="1"/>
      <c r="AU372" s="1"/>
      <c r="AV372" s="1">
        <v>43069.25</v>
      </c>
      <c r="AW372" s="1"/>
      <c r="AX372" s="1"/>
      <c r="AY372" s="1"/>
      <c r="AZ372" s="1">
        <v>43069.25</v>
      </c>
      <c r="BA372" s="1"/>
      <c r="BB372" s="1"/>
      <c r="BC372" s="1"/>
      <c r="BD372" s="1"/>
      <c r="BE372" s="1"/>
      <c r="BF372" s="1"/>
      <c r="BG372" s="1"/>
      <c r="BH372" s="1"/>
      <c r="BI372" s="1"/>
      <c r="BJ372" s="1"/>
      <c r="BK372" s="1"/>
      <c r="BL372" s="1"/>
      <c r="BM372" s="1">
        <v>43069.25</v>
      </c>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row>
    <row r="373" spans="1:216" x14ac:dyDescent="0.3">
      <c r="A373" s="3" t="str">
        <f>HYPERLINK("https://hpr-rps.hres.ca/reg-content/summary-basis-decision-detailTwo.php?lang=en&amp;linkID=SBD00382", "Kanuma")</f>
        <v>Kanuma</v>
      </c>
      <c r="B373" s="1" t="s">
        <v>984</v>
      </c>
      <c r="C373" s="1" t="s">
        <v>985</v>
      </c>
      <c r="D373" s="1" t="s">
        <v>986</v>
      </c>
      <c r="E373" s="1">
        <v>42710.25</v>
      </c>
      <c r="F373" s="1"/>
      <c r="G373" s="1">
        <v>42767.25</v>
      </c>
      <c r="H373" s="1">
        <v>42817.208333333343</v>
      </c>
      <c r="I373" s="1"/>
      <c r="J373" s="1"/>
      <c r="K373" s="1"/>
      <c r="L373" s="1"/>
      <c r="M373" s="1"/>
      <c r="N373" s="1"/>
      <c r="O373" s="1"/>
      <c r="P373" s="1"/>
      <c r="Q373" s="1"/>
      <c r="R373" s="1"/>
      <c r="S373" s="1"/>
      <c r="T373" s="1"/>
      <c r="U373" s="1"/>
      <c r="V373" s="1"/>
      <c r="W373" s="1"/>
      <c r="X373" s="1"/>
      <c r="Y373" s="1"/>
      <c r="Z373" s="1"/>
      <c r="AA373" s="1"/>
      <c r="AB373" s="1"/>
      <c r="AC373" s="1"/>
      <c r="AD373" s="1"/>
      <c r="AE373" s="1"/>
      <c r="AF373" s="1">
        <v>42846.25</v>
      </c>
      <c r="AG373" s="1"/>
      <c r="AH373" s="1"/>
      <c r="AI373" s="1"/>
      <c r="AJ373" s="1"/>
      <c r="AK373" s="1"/>
      <c r="AL373" s="1"/>
      <c r="AM373" s="1"/>
      <c r="AN373" s="1"/>
      <c r="AO373" s="1"/>
      <c r="AP373" s="1"/>
      <c r="AQ373" s="1"/>
      <c r="AR373" s="1"/>
      <c r="AS373" s="1"/>
      <c r="AT373" s="1"/>
      <c r="AU373" s="1"/>
      <c r="AV373" s="1">
        <v>43045.25</v>
      </c>
      <c r="AW373" s="1"/>
      <c r="AX373" s="1"/>
      <c r="AY373" s="1"/>
      <c r="AZ373" s="1"/>
      <c r="BA373" s="1"/>
      <c r="BB373" s="1"/>
      <c r="BC373" s="1"/>
      <c r="BD373" s="1"/>
      <c r="BE373" s="1"/>
      <c r="BF373" s="1"/>
      <c r="BG373" s="1"/>
      <c r="BH373" s="1"/>
      <c r="BI373" s="1"/>
      <c r="BJ373" s="1"/>
      <c r="BK373" s="1">
        <v>43046.25</v>
      </c>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v>43083.25</v>
      </c>
      <c r="CN373" s="1"/>
      <c r="CO373" s="1"/>
      <c r="CP373" s="1"/>
      <c r="CQ373" s="1"/>
      <c r="CR373" s="1"/>
      <c r="CS373" s="1"/>
      <c r="CT373" s="1"/>
      <c r="CU373" s="1">
        <v>43084.25</v>
      </c>
      <c r="CV373" s="1"/>
      <c r="CW373" s="1"/>
      <c r="CX373" s="1"/>
      <c r="CY373" s="1"/>
      <c r="CZ373" s="1"/>
      <c r="DA373" s="1"/>
      <c r="DB373" s="1"/>
      <c r="DC373" s="1"/>
      <c r="DD373" s="1"/>
      <c r="DE373" s="1"/>
      <c r="DF373" s="1"/>
      <c r="DG373" s="1">
        <v>43084.25</v>
      </c>
      <c r="DH373" s="1"/>
      <c r="DI373" s="1"/>
      <c r="DJ373" s="1"/>
      <c r="DK373" s="1"/>
      <c r="DL373" s="1"/>
      <c r="DM373" s="1"/>
      <c r="DN373" s="1"/>
      <c r="DO373" s="1"/>
      <c r="DP373" s="1"/>
      <c r="DQ373" s="1"/>
      <c r="DR373" s="1"/>
      <c r="DS373" s="1"/>
      <c r="DT373" s="1">
        <v>43056.25</v>
      </c>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row>
    <row r="374" spans="1:216" x14ac:dyDescent="0.3">
      <c r="A374" s="3" t="str">
        <f>HYPERLINK("https://hpr-rps.hres.ca/reg-content/summary-basis-decision-detailTwo.php?lang=en&amp;linkID=SBD00383", "Xiidra")</f>
        <v>Xiidra</v>
      </c>
      <c r="B374" s="1" t="s">
        <v>987</v>
      </c>
      <c r="C374" s="1" t="s">
        <v>988</v>
      </c>
      <c r="D374" s="1" t="s">
        <v>989</v>
      </c>
      <c r="E374" s="1">
        <v>42591.25</v>
      </c>
      <c r="F374" s="1"/>
      <c r="G374" s="1"/>
      <c r="H374" s="1">
        <v>42671.25</v>
      </c>
      <c r="I374" s="1"/>
      <c r="J374" s="1"/>
      <c r="K374" s="1"/>
      <c r="L374" s="1"/>
      <c r="M374" s="1"/>
      <c r="N374" s="1"/>
      <c r="O374" s="1"/>
      <c r="P374" s="1"/>
      <c r="Q374" s="1"/>
      <c r="R374" s="1"/>
      <c r="S374" s="1"/>
      <c r="T374" s="1"/>
      <c r="U374" s="1"/>
      <c r="V374" s="1"/>
      <c r="W374" s="1"/>
      <c r="X374" s="1"/>
      <c r="Y374" s="1"/>
      <c r="Z374" s="1"/>
      <c r="AA374" s="1"/>
      <c r="AB374" s="1"/>
      <c r="AC374" s="1"/>
      <c r="AD374" s="1"/>
      <c r="AE374" s="1"/>
      <c r="AF374" s="1">
        <v>42723.25</v>
      </c>
      <c r="AG374" s="1"/>
      <c r="AH374" s="1"/>
      <c r="AI374" s="1"/>
      <c r="AJ374" s="1"/>
      <c r="AK374" s="1"/>
      <c r="AL374" s="1"/>
      <c r="AM374" s="1"/>
      <c r="AN374" s="1"/>
      <c r="AO374" s="1"/>
      <c r="AP374" s="1"/>
      <c r="AQ374" s="1">
        <v>42956.25</v>
      </c>
      <c r="AR374" s="1">
        <v>43084.25</v>
      </c>
      <c r="AS374" s="1"/>
      <c r="AT374" s="1"/>
      <c r="AU374" s="1"/>
      <c r="AV374" s="1">
        <v>43089.25</v>
      </c>
      <c r="AW374" s="1"/>
      <c r="AX374" s="1">
        <v>42883.25</v>
      </c>
      <c r="AY374" s="1"/>
      <c r="AZ374" s="1">
        <v>43090.25</v>
      </c>
      <c r="BA374" s="1"/>
      <c r="BB374" s="1"/>
      <c r="BC374" s="1"/>
      <c r="BD374" s="1"/>
      <c r="BE374" s="1"/>
      <c r="BF374" s="1"/>
      <c r="BG374" s="1"/>
      <c r="BH374" s="1"/>
      <c r="BI374" s="1"/>
      <c r="BJ374" s="1"/>
      <c r="BK374" s="1"/>
      <c r="BL374" s="1"/>
      <c r="BM374" s="1">
        <v>43091.25</v>
      </c>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row>
    <row r="375" spans="1:216" x14ac:dyDescent="0.3">
      <c r="A375" s="3" t="str">
        <f>HYPERLINK("https://hpr-rps.hres.ca/reg-content/summary-basis-decision-detailTwo.php?lang=en&amp;linkID=SBD00384", "Imfinzi")</f>
        <v>Imfinzi</v>
      </c>
      <c r="B375" s="1" t="s">
        <v>990</v>
      </c>
      <c r="C375" s="1" t="s">
        <v>137</v>
      </c>
      <c r="D375" s="1" t="s">
        <v>991</v>
      </c>
      <c r="E375" s="1">
        <v>42678.208333333343</v>
      </c>
      <c r="F375" s="1">
        <v>42642.25</v>
      </c>
      <c r="G375" s="1">
        <v>42732.25</v>
      </c>
      <c r="H375" s="1">
        <v>42782.25</v>
      </c>
      <c r="I375" s="1"/>
      <c r="J375" s="1"/>
      <c r="K375" s="1"/>
      <c r="L375" s="1"/>
      <c r="M375" s="1"/>
      <c r="N375" s="1"/>
      <c r="O375" s="1"/>
      <c r="P375" s="1"/>
      <c r="Q375" s="1"/>
      <c r="R375" s="1"/>
      <c r="S375" s="1"/>
      <c r="T375" s="1"/>
      <c r="U375" s="1"/>
      <c r="V375" s="1"/>
      <c r="W375" s="1"/>
      <c r="X375" s="1"/>
      <c r="Y375" s="1"/>
      <c r="Z375" s="1"/>
      <c r="AA375" s="1"/>
      <c r="AB375" s="1"/>
      <c r="AC375" s="1"/>
      <c r="AD375" s="1"/>
      <c r="AE375" s="1"/>
      <c r="AF375" s="1">
        <v>42811.208333333343</v>
      </c>
      <c r="AG375" s="1"/>
      <c r="AH375" s="1"/>
      <c r="AI375" s="1"/>
      <c r="AJ375" s="1"/>
      <c r="AK375" s="1"/>
      <c r="AL375" s="1"/>
      <c r="AM375" s="1"/>
      <c r="AN375" s="1"/>
      <c r="AO375" s="1">
        <v>42898.25</v>
      </c>
      <c r="AP375" s="1"/>
      <c r="AQ375" s="1">
        <v>42985.25</v>
      </c>
      <c r="AR375" s="1">
        <v>42995.25</v>
      </c>
      <c r="AS375" s="1"/>
      <c r="AT375" s="1"/>
      <c r="AU375" s="1"/>
      <c r="AV375" s="1">
        <v>43005.25</v>
      </c>
      <c r="AW375" s="1"/>
      <c r="AX375" s="1"/>
      <c r="AY375" s="1"/>
      <c r="AZ375" s="1"/>
      <c r="BA375" s="1"/>
      <c r="BB375" s="1"/>
      <c r="BC375" s="1"/>
      <c r="BD375" s="1"/>
      <c r="BE375" s="1"/>
      <c r="BF375" s="1"/>
      <c r="BG375" s="1"/>
      <c r="BH375" s="1"/>
      <c r="BI375" s="1"/>
      <c r="BJ375" s="1"/>
      <c r="BK375" s="1">
        <v>43011.25</v>
      </c>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v>43042.208333333343</v>
      </c>
      <c r="CT375" s="1"/>
      <c r="CU375" s="1">
        <v>43042.208333333343</v>
      </c>
      <c r="CV375" s="1"/>
      <c r="CW375" s="1"/>
      <c r="CX375" s="1"/>
      <c r="CY375" s="1"/>
      <c r="CZ375" s="1"/>
      <c r="DA375" s="1"/>
      <c r="DB375" s="1"/>
      <c r="DC375" s="1"/>
      <c r="DD375" s="1"/>
      <c r="DE375" s="1"/>
      <c r="DF375" s="1"/>
      <c r="DG375" s="1">
        <v>43042.208333333343</v>
      </c>
      <c r="DH375" s="1"/>
      <c r="DI375" s="1"/>
      <c r="DJ375" s="1"/>
      <c r="DK375" s="1"/>
      <c r="DL375" s="1"/>
      <c r="DM375" s="1"/>
      <c r="DN375" s="1"/>
      <c r="DO375" s="1"/>
      <c r="DP375" s="1"/>
      <c r="DQ375" s="1"/>
      <c r="DR375" s="1"/>
      <c r="DS375" s="1"/>
      <c r="DT375" s="1">
        <v>43014.25</v>
      </c>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row>
    <row r="376" spans="1:216" x14ac:dyDescent="0.3">
      <c r="A376" s="3" t="str">
        <f>HYPERLINK("https://hpr-rps.hres.ca/reg-content/summary-basis-decision-detailTwo.php?lang=en&amp;linkID=SBD00385", "Bavencio")</f>
        <v>Bavencio</v>
      </c>
      <c r="B376" s="1" t="s">
        <v>992</v>
      </c>
      <c r="C376" s="1" t="s">
        <v>993</v>
      </c>
      <c r="D376" s="1" t="s">
        <v>994</v>
      </c>
      <c r="E376" s="1">
        <v>42706.25</v>
      </c>
      <c r="F376" s="1"/>
      <c r="G376" s="1">
        <v>42760.25</v>
      </c>
      <c r="H376" s="1">
        <v>42817.208333333343</v>
      </c>
      <c r="I376" s="1"/>
      <c r="J376" s="1"/>
      <c r="K376" s="1"/>
      <c r="L376" s="1"/>
      <c r="M376" s="1"/>
      <c r="N376" s="1"/>
      <c r="O376" s="1"/>
      <c r="P376" s="1"/>
      <c r="Q376" s="1"/>
      <c r="R376" s="1"/>
      <c r="S376" s="1"/>
      <c r="T376" s="1"/>
      <c r="U376" s="1"/>
      <c r="V376" s="1"/>
      <c r="W376" s="1"/>
      <c r="X376" s="1"/>
      <c r="Y376" s="1"/>
      <c r="Z376" s="1"/>
      <c r="AA376" s="1"/>
      <c r="AB376" s="1"/>
      <c r="AC376" s="1"/>
      <c r="AD376" s="1"/>
      <c r="AE376" s="1"/>
      <c r="AF376" s="1">
        <v>42846.25</v>
      </c>
      <c r="AG376" s="1"/>
      <c r="AH376" s="1"/>
      <c r="AI376" s="1"/>
      <c r="AJ376" s="1"/>
      <c r="AK376" s="1"/>
      <c r="AL376" s="1"/>
      <c r="AM376" s="1"/>
      <c r="AN376" s="1"/>
      <c r="AO376" s="1">
        <v>42997.25</v>
      </c>
      <c r="AP376" s="1"/>
      <c r="AQ376" s="1">
        <v>42975.25</v>
      </c>
      <c r="AR376" s="1">
        <v>43042.208333333343</v>
      </c>
      <c r="AS376" s="1"/>
      <c r="AT376" s="1"/>
      <c r="AU376" s="1"/>
      <c r="AV376" s="1">
        <v>43045.25</v>
      </c>
      <c r="AW376" s="1"/>
      <c r="AX376" s="1"/>
      <c r="AY376" s="1"/>
      <c r="AZ376" s="1">
        <v>43046.25</v>
      </c>
      <c r="BA376" s="1"/>
      <c r="BB376" s="1"/>
      <c r="BC376" s="1"/>
      <c r="BD376" s="1"/>
      <c r="BE376" s="1"/>
      <c r="BF376" s="1"/>
      <c r="BG376" s="1"/>
      <c r="BH376" s="1"/>
      <c r="BI376" s="1"/>
      <c r="BJ376" s="1"/>
      <c r="BK376" s="1">
        <v>43046.25</v>
      </c>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v>43069.25</v>
      </c>
      <c r="CV376" s="1"/>
      <c r="CW376" s="1"/>
      <c r="CX376" s="1"/>
      <c r="CY376" s="1"/>
      <c r="CZ376" s="1"/>
      <c r="DA376" s="1"/>
      <c r="DB376" s="1"/>
      <c r="DC376" s="1"/>
      <c r="DD376" s="1"/>
      <c r="DE376" s="1"/>
      <c r="DF376" s="1"/>
      <c r="DG376" s="1">
        <v>43087.25</v>
      </c>
      <c r="DH376" s="1"/>
      <c r="DI376" s="1"/>
      <c r="DJ376" s="1"/>
      <c r="DK376" s="1"/>
      <c r="DL376" s="1"/>
      <c r="DM376" s="1"/>
      <c r="DN376" s="1"/>
      <c r="DO376" s="1"/>
      <c r="DP376" s="1"/>
      <c r="DQ376" s="1"/>
      <c r="DR376" s="1"/>
      <c r="DS376" s="1"/>
      <c r="DT376" s="1">
        <v>43059.25</v>
      </c>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row>
    <row r="377" spans="1:216" x14ac:dyDescent="0.3">
      <c r="A377" s="3" t="str">
        <f>HYPERLINK("https://hpr-rps.hres.ca/reg-content/summary-basis-decision-detailTwo.php?lang=en&amp;linkID=SBD00387", "Tremfya")</f>
        <v>Tremfya</v>
      </c>
      <c r="B377" s="1" t="s">
        <v>995</v>
      </c>
      <c r="C377" s="1" t="s">
        <v>201</v>
      </c>
      <c r="D377" s="1" t="s">
        <v>996</v>
      </c>
      <c r="E377" s="1">
        <v>42586.25</v>
      </c>
      <c r="F377" s="1"/>
      <c r="G377" s="1"/>
      <c r="H377" s="1">
        <v>42699.25</v>
      </c>
      <c r="I377" s="1"/>
      <c r="J377" s="1"/>
      <c r="K377" s="1"/>
      <c r="L377" s="1"/>
      <c r="M377" s="1"/>
      <c r="N377" s="1"/>
      <c r="O377" s="1"/>
      <c r="P377" s="1"/>
      <c r="Q377" s="1"/>
      <c r="R377" s="1"/>
      <c r="S377" s="1"/>
      <c r="T377" s="1"/>
      <c r="U377" s="1"/>
      <c r="V377" s="1"/>
      <c r="W377" s="1"/>
      <c r="X377" s="1"/>
      <c r="Y377" s="1"/>
      <c r="Z377" s="1"/>
      <c r="AA377" s="1"/>
      <c r="AB377" s="1"/>
      <c r="AC377" s="1"/>
      <c r="AD377" s="1"/>
      <c r="AE377" s="1"/>
      <c r="AF377" s="1">
        <v>42751.25</v>
      </c>
      <c r="AG377" s="1"/>
      <c r="AH377" s="1"/>
      <c r="AI377" s="1"/>
      <c r="AJ377" s="1"/>
      <c r="AK377" s="1"/>
      <c r="AL377" s="1"/>
      <c r="AM377" s="1"/>
      <c r="AN377" s="1"/>
      <c r="AO377" s="1"/>
      <c r="AP377" s="1"/>
      <c r="AQ377" s="1">
        <v>42934.25</v>
      </c>
      <c r="AR377" s="1">
        <v>43047.25</v>
      </c>
      <c r="AS377" s="1"/>
      <c r="AT377" s="1"/>
      <c r="AU377" s="1"/>
      <c r="AV377" s="1">
        <v>43014.25</v>
      </c>
      <c r="AW377" s="1"/>
      <c r="AX377" s="1">
        <v>43049.25</v>
      </c>
      <c r="AY377" s="1"/>
      <c r="AZ377" s="1">
        <v>43049.25</v>
      </c>
      <c r="BA377" s="1"/>
      <c r="BB377" s="1"/>
      <c r="BC377" s="1"/>
      <c r="BD377" s="1"/>
      <c r="BE377" s="1"/>
      <c r="BF377" s="1"/>
      <c r="BG377" s="1"/>
      <c r="BH377" s="1"/>
      <c r="BI377" s="1"/>
      <c r="BJ377" s="1"/>
      <c r="BK377" s="1"/>
      <c r="BL377" s="1"/>
      <c r="BM377" s="1">
        <v>43049.25</v>
      </c>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row>
    <row r="378" spans="1:216" x14ac:dyDescent="0.3">
      <c r="A378" s="3" t="str">
        <f>HYPERLINK("https://hpr-rps.hres.ca/reg-content/summary-basis-decision-detailTwo.php?lang=en&amp;linkID=SBD00388", "Ozempic")</f>
        <v>Ozempic</v>
      </c>
      <c r="B378" s="1" t="s">
        <v>997</v>
      </c>
      <c r="C378" s="1" t="s">
        <v>298</v>
      </c>
      <c r="D378" s="1" t="s">
        <v>998</v>
      </c>
      <c r="E378" s="1">
        <v>42635.25</v>
      </c>
      <c r="F378" s="1"/>
      <c r="G378" s="1"/>
      <c r="H378" s="1">
        <v>42754.25</v>
      </c>
      <c r="I378" s="1"/>
      <c r="J378" s="1"/>
      <c r="K378" s="1"/>
      <c r="L378" s="1"/>
      <c r="M378" s="1"/>
      <c r="N378" s="1"/>
      <c r="O378" s="1"/>
      <c r="P378" s="1"/>
      <c r="Q378" s="1"/>
      <c r="R378" s="1"/>
      <c r="S378" s="1"/>
      <c r="T378" s="1"/>
      <c r="U378" s="1"/>
      <c r="V378" s="1"/>
      <c r="W378" s="1"/>
      <c r="X378" s="1"/>
      <c r="Y378" s="1"/>
      <c r="Z378" s="1"/>
      <c r="AA378" s="1"/>
      <c r="AB378" s="1"/>
      <c r="AC378" s="1"/>
      <c r="AD378" s="1"/>
      <c r="AE378" s="1"/>
      <c r="AF378" s="1">
        <v>42804.25</v>
      </c>
      <c r="AG378" s="1"/>
      <c r="AH378" s="1"/>
      <c r="AI378" s="1"/>
      <c r="AJ378" s="1"/>
      <c r="AK378" s="1"/>
      <c r="AL378" s="1"/>
      <c r="AM378" s="1"/>
      <c r="AN378" s="1"/>
      <c r="AO378" s="1"/>
      <c r="AP378" s="1"/>
      <c r="AQ378" s="1">
        <v>43045.25</v>
      </c>
      <c r="AR378" s="1">
        <v>43102.25</v>
      </c>
      <c r="AS378" s="1"/>
      <c r="AT378" s="1"/>
      <c r="AU378" s="1"/>
      <c r="AV378" s="1">
        <v>43091.25</v>
      </c>
      <c r="AW378" s="1"/>
      <c r="AX378" s="1">
        <v>43042.208333333343</v>
      </c>
      <c r="AY378" s="1"/>
      <c r="AZ378" s="1">
        <v>43103.25</v>
      </c>
      <c r="BA378" s="1"/>
      <c r="BB378" s="1"/>
      <c r="BC378" s="1"/>
      <c r="BD378" s="1"/>
      <c r="BE378" s="1"/>
      <c r="BF378" s="1"/>
      <c r="BG378" s="1"/>
      <c r="BH378" s="1"/>
      <c r="BI378" s="1"/>
      <c r="BJ378" s="1"/>
      <c r="BK378" s="1"/>
      <c r="BL378" s="1"/>
      <c r="BM378" s="1">
        <v>43104.25</v>
      </c>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row>
    <row r="379" spans="1:216" x14ac:dyDescent="0.3">
      <c r="A379" s="3" t="str">
        <f>HYPERLINK("https://hpr-rps.hres.ca/reg-content/summary-basis-decision-detailTwo.php?lang=en&amp;linkID=SBD00389", "Lonsurf")</f>
        <v>Lonsurf</v>
      </c>
      <c r="B379" s="1" t="s">
        <v>999</v>
      </c>
      <c r="C379" s="1" t="s">
        <v>1000</v>
      </c>
      <c r="D379" s="1" t="s">
        <v>1001</v>
      </c>
      <c r="E379" s="1">
        <v>42682.25</v>
      </c>
      <c r="F379" s="1"/>
      <c r="G379" s="1"/>
      <c r="H379" s="1"/>
      <c r="I379" s="1"/>
      <c r="J379" s="1"/>
      <c r="K379" s="1"/>
      <c r="L379" s="1"/>
      <c r="M379" s="1"/>
      <c r="N379" s="1">
        <v>42794.25</v>
      </c>
      <c r="O379" s="1"/>
      <c r="P379" s="1"/>
      <c r="Q379" s="1"/>
      <c r="R379" s="1"/>
      <c r="S379" s="1">
        <v>42831.25</v>
      </c>
      <c r="T379" s="1"/>
      <c r="U379" s="1"/>
      <c r="V379" s="1">
        <v>42885.25</v>
      </c>
      <c r="W379" s="1"/>
      <c r="X379" s="1"/>
      <c r="Y379" s="1"/>
      <c r="Z379" s="1">
        <v>42913.25</v>
      </c>
      <c r="AA379" s="1"/>
      <c r="AB379" s="1"/>
      <c r="AC379" s="1">
        <v>42927.25</v>
      </c>
      <c r="AD379" s="1"/>
      <c r="AE379" s="1"/>
      <c r="AF379" s="1">
        <v>42947.25</v>
      </c>
      <c r="AG379" s="1"/>
      <c r="AH379" s="1"/>
      <c r="AI379" s="1"/>
      <c r="AJ379" s="1"/>
      <c r="AK379" s="1"/>
      <c r="AL379" s="1"/>
      <c r="AM379" s="1"/>
      <c r="AN379" s="1"/>
      <c r="AO379" s="1"/>
      <c r="AP379" s="1"/>
      <c r="AQ379" s="1">
        <v>43089.25</v>
      </c>
      <c r="AR379" s="1">
        <v>43117.25</v>
      </c>
      <c r="AS379" s="1">
        <v>43077.25</v>
      </c>
      <c r="AT379" s="1"/>
      <c r="AU379" s="1"/>
      <c r="AV379" s="1">
        <v>43118.25</v>
      </c>
      <c r="AW379" s="1"/>
      <c r="AX379" s="1"/>
      <c r="AY379" s="1"/>
      <c r="AZ379" s="1">
        <v>43119.25</v>
      </c>
      <c r="BA379" s="1"/>
      <c r="BB379" s="1"/>
      <c r="BC379" s="1"/>
      <c r="BD379" s="1"/>
      <c r="BE379" s="1"/>
      <c r="BF379" s="1"/>
      <c r="BG379" s="1"/>
      <c r="BH379" s="1"/>
      <c r="BI379" s="1"/>
      <c r="BJ379" s="1"/>
      <c r="BK379" s="1"/>
      <c r="BL379" s="1"/>
      <c r="BM379" s="1">
        <v>43125.25</v>
      </c>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row>
    <row r="380" spans="1:216" x14ac:dyDescent="0.3">
      <c r="A380" s="3" t="str">
        <f>HYPERLINK("https://hpr-rps.hres.ca/reg-content/summary-basis-decision-detailTwo.php?lang=en&amp;linkID=SBD00390", "Fasenra")</f>
        <v>Fasenra</v>
      </c>
      <c r="B380" s="1" t="s">
        <v>1002</v>
      </c>
      <c r="C380" s="1" t="s">
        <v>137</v>
      </c>
      <c r="D380" s="1" t="s">
        <v>1003</v>
      </c>
      <c r="E380" s="1">
        <v>42710.25</v>
      </c>
      <c r="F380" s="1"/>
      <c r="G380" s="1"/>
      <c r="H380" s="1">
        <v>42815.208333333343</v>
      </c>
      <c r="I380" s="1"/>
      <c r="J380" s="1"/>
      <c r="K380" s="1"/>
      <c r="L380" s="1"/>
      <c r="M380" s="1"/>
      <c r="N380" s="1"/>
      <c r="O380" s="1"/>
      <c r="P380" s="1"/>
      <c r="Q380" s="1"/>
      <c r="R380" s="1"/>
      <c r="S380" s="1"/>
      <c r="T380" s="1"/>
      <c r="U380" s="1"/>
      <c r="V380" s="1"/>
      <c r="W380" s="1"/>
      <c r="X380" s="1"/>
      <c r="Y380" s="1"/>
      <c r="Z380" s="1"/>
      <c r="AA380" s="1"/>
      <c r="AB380" s="1"/>
      <c r="AC380" s="1"/>
      <c r="AD380" s="1"/>
      <c r="AE380" s="1"/>
      <c r="AF380" s="1">
        <v>42853.25</v>
      </c>
      <c r="AG380" s="1"/>
      <c r="AH380" s="1"/>
      <c r="AI380" s="1"/>
      <c r="AJ380" s="1"/>
      <c r="AK380" s="1"/>
      <c r="AL380" s="1"/>
      <c r="AM380" s="1"/>
      <c r="AN380" s="1"/>
      <c r="AO380" s="1">
        <v>42898.25</v>
      </c>
      <c r="AP380" s="1"/>
      <c r="AQ380" s="1">
        <v>43091.25</v>
      </c>
      <c r="AR380" s="1">
        <v>43151.25</v>
      </c>
      <c r="AS380" s="1"/>
      <c r="AT380" s="1"/>
      <c r="AU380" s="1"/>
      <c r="AV380" s="1">
        <v>43153.25</v>
      </c>
      <c r="AW380" s="1"/>
      <c r="AX380" s="1"/>
      <c r="AY380" s="1"/>
      <c r="AZ380" s="1">
        <v>43153.25</v>
      </c>
      <c r="BA380" s="1"/>
      <c r="BB380" s="1"/>
      <c r="BC380" s="1"/>
      <c r="BD380" s="1"/>
      <c r="BE380" s="1"/>
      <c r="BF380" s="1"/>
      <c r="BG380" s="1"/>
      <c r="BH380" s="1"/>
      <c r="BI380" s="1"/>
      <c r="BJ380" s="1"/>
      <c r="BK380" s="1"/>
      <c r="BL380" s="1"/>
      <c r="BM380" s="1">
        <v>43153.25</v>
      </c>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row>
    <row r="381" spans="1:216" x14ac:dyDescent="0.3">
      <c r="A381" s="3" t="str">
        <f>HYPERLINK("https://hpr-rps.hres.ca/reg-content/summary-basis-decision-detailTwo.php?lang=en&amp;linkID=SBD00391", "DaTscan")</f>
        <v>DaTscan</v>
      </c>
      <c r="B381" s="1" t="s">
        <v>1004</v>
      </c>
      <c r="C381" s="1" t="s">
        <v>1005</v>
      </c>
      <c r="D381" s="1" t="s">
        <v>1006</v>
      </c>
      <c r="E381" s="1">
        <v>40500.25</v>
      </c>
      <c r="F381" s="1"/>
      <c r="G381" s="1"/>
      <c r="H381" s="1"/>
      <c r="I381" s="1"/>
      <c r="J381" s="1"/>
      <c r="K381" s="1"/>
      <c r="L381" s="1"/>
      <c r="M381" s="1"/>
      <c r="N381" s="1">
        <v>42423.25</v>
      </c>
      <c r="O381" s="1"/>
      <c r="P381" s="1"/>
      <c r="Q381" s="1"/>
      <c r="R381" s="1"/>
      <c r="S381" s="1"/>
      <c r="T381" s="1">
        <v>42447.208333333343</v>
      </c>
      <c r="U381" s="1"/>
      <c r="V381" s="1">
        <v>42726.25</v>
      </c>
      <c r="W381" s="1"/>
      <c r="X381" s="1"/>
      <c r="Y381" s="1"/>
      <c r="Z381" s="1"/>
      <c r="AA381" s="1"/>
      <c r="AB381" s="1"/>
      <c r="AC381" s="1"/>
      <c r="AD381" s="1"/>
      <c r="AE381" s="1"/>
      <c r="AF381" s="1">
        <v>42776.25</v>
      </c>
      <c r="AG381" s="1"/>
      <c r="AH381" s="1"/>
      <c r="AI381" s="1"/>
      <c r="AJ381" s="1"/>
      <c r="AK381" s="1"/>
      <c r="AL381" s="1"/>
      <c r="AM381" s="1"/>
      <c r="AN381" s="1"/>
      <c r="AO381" s="1"/>
      <c r="AP381" s="1"/>
      <c r="AQ381" s="1">
        <v>43031.25</v>
      </c>
      <c r="AR381" s="1">
        <v>43069.25</v>
      </c>
      <c r="AS381" s="1"/>
      <c r="AT381" s="1"/>
      <c r="AU381" s="1"/>
      <c r="AV381" s="1">
        <v>43073.25</v>
      </c>
      <c r="AW381" s="1"/>
      <c r="AX381" s="1"/>
      <c r="AY381" s="1"/>
      <c r="AZ381" s="1">
        <v>43075.25</v>
      </c>
      <c r="BA381" s="1"/>
      <c r="BB381" s="1"/>
      <c r="BC381" s="1"/>
      <c r="BD381" s="1"/>
      <c r="BE381" s="1"/>
      <c r="BF381" s="1"/>
      <c r="BG381" s="1"/>
      <c r="BH381" s="1"/>
      <c r="BI381" s="1"/>
      <c r="BJ381" s="1"/>
      <c r="BK381" s="1"/>
      <c r="BL381" s="1"/>
      <c r="BM381" s="1">
        <v>43076.25</v>
      </c>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row>
    <row r="382" spans="1:216" x14ac:dyDescent="0.3">
      <c r="A382" s="3" t="str">
        <f>HYPERLINK("https://hpr-rps.hres.ca/reg-content/summary-basis-decision-detailTwo.php?lang=en&amp;linkID=SBD00392", "Addyi")</f>
        <v>Addyi</v>
      </c>
      <c r="B382" s="1" t="s">
        <v>1007</v>
      </c>
      <c r="C382" s="1" t="s">
        <v>1008</v>
      </c>
      <c r="D382" s="1" t="s">
        <v>1009</v>
      </c>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v>40210.25</v>
      </c>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v>40441.25</v>
      </c>
      <c r="BQ382" s="1"/>
      <c r="BR382" s="1"/>
      <c r="BS382" s="1"/>
      <c r="BT382" s="1"/>
      <c r="BU382" s="1"/>
      <c r="BV382" s="1"/>
      <c r="BW382" s="1"/>
      <c r="BX382" s="1"/>
      <c r="BY382" s="1"/>
      <c r="BZ382" s="1"/>
      <c r="CA382" s="1"/>
      <c r="CB382" s="1"/>
      <c r="CC382" s="1"/>
      <c r="CD382" s="1"/>
      <c r="CE382" s="1"/>
      <c r="CF382" s="1"/>
      <c r="CG382" s="1"/>
      <c r="CH382" s="1">
        <v>40457.25</v>
      </c>
      <c r="CI382" s="1"/>
      <c r="CJ382" s="1"/>
      <c r="CK382" s="1"/>
      <c r="CL382" s="1">
        <v>42377.25</v>
      </c>
      <c r="CM382" s="1"/>
      <c r="CN382" s="1"/>
      <c r="CO382" s="1">
        <v>42433.25</v>
      </c>
      <c r="CP382" s="1"/>
      <c r="CQ382" s="1"/>
      <c r="CR382" s="1">
        <v>42461.25</v>
      </c>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v>42683.25</v>
      </c>
      <c r="EH382" s="1"/>
      <c r="EI382" s="1"/>
      <c r="EJ382" s="1"/>
      <c r="EK382" s="1">
        <v>42814.208333333343</v>
      </c>
      <c r="EL382" s="1"/>
      <c r="EM382" s="1"/>
      <c r="EN382" s="1"/>
      <c r="EO382" s="1"/>
      <c r="EP382" s="1"/>
      <c r="EQ382" s="1"/>
      <c r="ER382" s="1"/>
      <c r="ES382" s="1"/>
      <c r="ET382" s="1"/>
      <c r="EU382" s="1"/>
      <c r="EV382" s="1"/>
      <c r="EW382" s="1"/>
      <c r="EX382" s="1"/>
      <c r="EY382" s="1"/>
      <c r="EZ382" s="1"/>
      <c r="FA382" s="1"/>
      <c r="FB382" s="1"/>
      <c r="FC382" s="1"/>
      <c r="FD382" s="1">
        <v>42858.25</v>
      </c>
      <c r="FE382" s="1"/>
      <c r="FF382" s="1"/>
      <c r="FG382" s="1"/>
      <c r="FH382" s="1"/>
      <c r="FI382" s="1"/>
      <c r="FJ382" s="1"/>
      <c r="FK382" s="1"/>
      <c r="FL382" s="1"/>
      <c r="FM382" s="1"/>
      <c r="FN382" s="1"/>
      <c r="FO382" s="1">
        <v>43158.25</v>
      </c>
      <c r="FP382" s="1">
        <v>43157.25</v>
      </c>
      <c r="FQ382" s="1">
        <v>43102.25</v>
      </c>
      <c r="FR382" s="1"/>
      <c r="FS382" s="1">
        <v>43110.25</v>
      </c>
      <c r="FT382" s="1">
        <v>43157.25</v>
      </c>
      <c r="FU382" s="1"/>
      <c r="FV382" s="1"/>
      <c r="FW382" s="1"/>
      <c r="FX382" s="1">
        <v>43157.25</v>
      </c>
      <c r="FY382" s="1"/>
      <c r="FZ382" s="1"/>
      <c r="GA382" s="1"/>
      <c r="GB382" s="1"/>
      <c r="GC382" s="1"/>
      <c r="GD382" s="1"/>
      <c r="GE382" s="1"/>
      <c r="GF382" s="1"/>
      <c r="GG382" s="1"/>
      <c r="GH382" s="1"/>
      <c r="GI382" s="1"/>
      <c r="GJ382" s="1"/>
      <c r="GK382" s="1">
        <v>43158.25</v>
      </c>
      <c r="GL382" s="1"/>
      <c r="GM382" s="1"/>
      <c r="GN382" s="1"/>
      <c r="GO382" s="1"/>
      <c r="GP382" s="1"/>
      <c r="GQ382" s="1"/>
      <c r="GR382" s="1"/>
      <c r="GS382" s="1"/>
      <c r="GT382" s="1"/>
      <c r="GU382" s="1"/>
      <c r="GV382" s="1"/>
      <c r="GW382" s="1"/>
      <c r="GX382" s="1"/>
      <c r="GY382" s="1"/>
      <c r="GZ382" s="1"/>
      <c r="HA382" s="1"/>
      <c r="HB382" s="1"/>
      <c r="HC382" s="1"/>
      <c r="HD382" s="1"/>
      <c r="HE382" s="1"/>
      <c r="HF382" s="1"/>
      <c r="HG382" s="1"/>
      <c r="HH382" s="1"/>
    </row>
    <row r="383" spans="1:216" x14ac:dyDescent="0.3">
      <c r="A383" s="3" t="str">
        <f>HYPERLINK("https://hpr-rps.hres.ca/reg-content/summary-basis-decision-detailTwo.php?lang=en&amp;linkID=SBD00395", "Kisqali")</f>
        <v>Kisqali</v>
      </c>
      <c r="B383" s="1" t="s">
        <v>1010</v>
      </c>
      <c r="C383" s="1" t="s">
        <v>87</v>
      </c>
      <c r="D383" s="1" t="s">
        <v>1011</v>
      </c>
      <c r="E383" s="1">
        <v>42627.25</v>
      </c>
      <c r="F383" s="1"/>
      <c r="G383" s="1"/>
      <c r="H383" s="1">
        <v>42811.208333333343</v>
      </c>
      <c r="I383" s="1"/>
      <c r="J383" s="1"/>
      <c r="K383" s="1"/>
      <c r="L383" s="1"/>
      <c r="M383" s="1"/>
      <c r="N383" s="1"/>
      <c r="O383" s="1"/>
      <c r="P383" s="1"/>
      <c r="Q383" s="1"/>
      <c r="R383" s="1"/>
      <c r="S383" s="1"/>
      <c r="T383" s="1"/>
      <c r="U383" s="1"/>
      <c r="V383" s="1"/>
      <c r="W383" s="1"/>
      <c r="X383" s="1"/>
      <c r="Y383" s="1"/>
      <c r="Z383" s="1"/>
      <c r="AA383" s="1"/>
      <c r="AB383" s="1"/>
      <c r="AC383" s="1"/>
      <c r="AD383" s="1"/>
      <c r="AE383" s="1"/>
      <c r="AF383" s="1">
        <v>42863.25</v>
      </c>
      <c r="AG383" s="1"/>
      <c r="AH383" s="1"/>
      <c r="AI383" s="1"/>
      <c r="AJ383" s="1"/>
      <c r="AK383" s="1"/>
      <c r="AL383" s="1"/>
      <c r="AM383" s="1"/>
      <c r="AN383" s="1"/>
      <c r="AO383" s="1"/>
      <c r="AP383" s="1"/>
      <c r="AQ383" s="1">
        <v>43151.25</v>
      </c>
      <c r="AR383" s="1">
        <v>43158.25</v>
      </c>
      <c r="AS383" s="1">
        <v>43090.25</v>
      </c>
      <c r="AT383" s="1"/>
      <c r="AU383" s="1"/>
      <c r="AV383" s="1">
        <v>43160.25</v>
      </c>
      <c r="AW383" s="1"/>
      <c r="AX383" s="1"/>
      <c r="AY383" s="1"/>
      <c r="AZ383" s="1">
        <v>43160.25</v>
      </c>
      <c r="BA383" s="1"/>
      <c r="BB383" s="1"/>
      <c r="BC383" s="1"/>
      <c r="BD383" s="1"/>
      <c r="BE383" s="1"/>
      <c r="BF383" s="1"/>
      <c r="BG383" s="1"/>
      <c r="BH383" s="1"/>
      <c r="BI383" s="1"/>
      <c r="BJ383" s="1"/>
      <c r="BK383" s="1"/>
      <c r="BL383" s="1"/>
      <c r="BM383" s="1">
        <v>43161.25</v>
      </c>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row>
    <row r="384" spans="1:216" x14ac:dyDescent="0.3">
      <c r="A384" s="3" t="str">
        <f>HYPERLINK("https://hpr-rps.hres.ca/reg-content/summary-basis-decision-detailTwo.php?lang=en&amp;linkID=SBD00393", "Rekovelle")</f>
        <v>Rekovelle</v>
      </c>
      <c r="B384" s="1" t="s">
        <v>1012</v>
      </c>
      <c r="C384" s="1" t="s">
        <v>1013</v>
      </c>
      <c r="D384" s="1" t="s">
        <v>1014</v>
      </c>
      <c r="E384" s="1"/>
      <c r="F384" s="1"/>
      <c r="G384" s="1"/>
      <c r="H384" s="1">
        <v>42347.25</v>
      </c>
      <c r="I384" s="1">
        <v>42398.25</v>
      </c>
      <c r="J384" s="1"/>
      <c r="K384" s="1"/>
      <c r="L384" s="1"/>
      <c r="M384" s="1"/>
      <c r="N384" s="1"/>
      <c r="O384" s="1"/>
      <c r="P384" s="1"/>
      <c r="Q384" s="1"/>
      <c r="R384" s="1"/>
      <c r="S384" s="1"/>
      <c r="T384" s="1"/>
      <c r="U384" s="1"/>
      <c r="V384" s="1"/>
      <c r="W384" s="1"/>
      <c r="X384" s="1">
        <v>42650.25</v>
      </c>
      <c r="Y384" s="1">
        <v>42690.25</v>
      </c>
      <c r="Z384" s="1"/>
      <c r="AA384" s="1"/>
      <c r="AB384" s="1"/>
      <c r="AC384" s="1">
        <v>42836.25</v>
      </c>
      <c r="AD384" s="1"/>
      <c r="AE384" s="1"/>
      <c r="AF384" s="1">
        <v>42881.25</v>
      </c>
      <c r="AG384" s="1"/>
      <c r="AH384" s="1"/>
      <c r="AI384" s="1">
        <v>42653.25</v>
      </c>
      <c r="AJ384" s="1"/>
      <c r="AK384" s="1"/>
      <c r="AL384" s="1"/>
      <c r="AM384" s="1">
        <v>43181.208333333343</v>
      </c>
      <c r="AN384" s="1"/>
      <c r="AO384" s="1">
        <v>42524.25</v>
      </c>
      <c r="AP384" s="1"/>
      <c r="AQ384" s="1">
        <v>42623.25</v>
      </c>
      <c r="AR384" s="1">
        <v>43181.208333333343</v>
      </c>
      <c r="AS384" s="1"/>
      <c r="AT384" s="1"/>
      <c r="AU384" s="1"/>
      <c r="AV384" s="1">
        <v>42695.25</v>
      </c>
      <c r="AW384" s="1"/>
      <c r="AX384" s="1"/>
      <c r="AY384" s="1"/>
      <c r="AZ384" s="1">
        <v>43181.208333333343</v>
      </c>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v>43181.208333333343</v>
      </c>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row>
    <row r="385" spans="1:216" x14ac:dyDescent="0.3">
      <c r="A385" s="3" t="str">
        <f>HYPERLINK("https://hpr-rps.hres.ca/reg-content/summary-basis-decision-detailTwo.php?lang=en&amp;linkID=SBD00394", "Siliq")</f>
        <v>Siliq</v>
      </c>
      <c r="B385" s="1" t="s">
        <v>1015</v>
      </c>
      <c r="C385" s="1" t="s">
        <v>713</v>
      </c>
      <c r="D385" s="1" t="s">
        <v>1016</v>
      </c>
      <c r="E385" s="1"/>
      <c r="F385" s="1"/>
      <c r="G385" s="1"/>
      <c r="H385" s="1">
        <v>42514.25</v>
      </c>
      <c r="I385" s="1">
        <v>42566.25</v>
      </c>
      <c r="J385" s="1"/>
      <c r="K385" s="1"/>
      <c r="L385" s="1"/>
      <c r="M385" s="1"/>
      <c r="N385" s="1"/>
      <c r="O385" s="1"/>
      <c r="P385" s="1"/>
      <c r="Q385" s="1"/>
      <c r="R385" s="1"/>
      <c r="S385" s="1"/>
      <c r="T385" s="1"/>
      <c r="U385" s="1"/>
      <c r="V385" s="1"/>
      <c r="W385" s="1"/>
      <c r="X385" s="1">
        <v>42831.25</v>
      </c>
      <c r="Y385" s="1">
        <v>43164.25</v>
      </c>
      <c r="Z385" s="1"/>
      <c r="AA385" s="1"/>
      <c r="AB385" s="1"/>
      <c r="AC385" s="1">
        <v>42863.25</v>
      </c>
      <c r="AD385" s="1"/>
      <c r="AE385" s="1"/>
      <c r="AF385" s="1">
        <v>42865.25</v>
      </c>
      <c r="AG385" s="1"/>
      <c r="AH385" s="1"/>
      <c r="AI385" s="1">
        <v>43159.25</v>
      </c>
      <c r="AJ385" s="1"/>
      <c r="AK385" s="1"/>
      <c r="AL385" s="1"/>
      <c r="AM385" s="1">
        <v>43165.25</v>
      </c>
      <c r="AN385" s="1"/>
      <c r="AO385" s="1"/>
      <c r="AP385" s="1"/>
      <c r="AQ385" s="1"/>
      <c r="AR385" s="1"/>
      <c r="AS385" s="1"/>
      <c r="AT385" s="1"/>
      <c r="AU385" s="1"/>
      <c r="AV385" s="1">
        <v>43161.25</v>
      </c>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row>
    <row r="386" spans="1:216" x14ac:dyDescent="0.3">
      <c r="A386" s="3" t="str">
        <f>HYPERLINK("https://hpr-rps.hres.ca/reg-content/summary-basis-decision-detailTwo.php?lang=en&amp;linkID=SBD00396", "Lapelga")</f>
        <v>Lapelga</v>
      </c>
      <c r="B386" s="1" t="s">
        <v>1017</v>
      </c>
      <c r="C386" s="1" t="s">
        <v>751</v>
      </c>
      <c r="D386" s="1" t="s">
        <v>1018</v>
      </c>
      <c r="E386" s="1">
        <v>41942.208333333343</v>
      </c>
      <c r="F386" s="1"/>
      <c r="G386" s="1"/>
      <c r="H386" s="1">
        <v>42846.25</v>
      </c>
      <c r="I386" s="1"/>
      <c r="J386" s="1"/>
      <c r="K386" s="1"/>
      <c r="L386" s="1"/>
      <c r="M386" s="1"/>
      <c r="N386" s="1"/>
      <c r="O386" s="1"/>
      <c r="P386" s="1"/>
      <c r="Q386" s="1"/>
      <c r="R386" s="1"/>
      <c r="S386" s="1"/>
      <c r="T386" s="1"/>
      <c r="U386" s="1"/>
      <c r="V386" s="1"/>
      <c r="W386" s="1"/>
      <c r="X386" s="1"/>
      <c r="Y386" s="1"/>
      <c r="Z386" s="1"/>
      <c r="AA386" s="1"/>
      <c r="AB386" s="1"/>
      <c r="AC386" s="1"/>
      <c r="AD386" s="1"/>
      <c r="AE386" s="1"/>
      <c r="AF386" s="1">
        <v>42895.25</v>
      </c>
      <c r="AG386" s="1"/>
      <c r="AH386" s="1"/>
      <c r="AI386" s="1"/>
      <c r="AJ386" s="1"/>
      <c r="AK386" s="1"/>
      <c r="AL386" s="1"/>
      <c r="AM386" s="1"/>
      <c r="AN386" s="1"/>
      <c r="AO386" s="1"/>
      <c r="AP386" s="1"/>
      <c r="AQ386" s="1">
        <v>43160.25</v>
      </c>
      <c r="AR386" s="1">
        <v>43180.208333333343</v>
      </c>
      <c r="AS386" s="1"/>
      <c r="AT386" s="1"/>
      <c r="AU386" s="1"/>
      <c r="AV386" s="1">
        <v>43180.208333333343</v>
      </c>
      <c r="AW386" s="1"/>
      <c r="AX386" s="1"/>
      <c r="AY386" s="1"/>
      <c r="AZ386" s="1">
        <v>43195.25</v>
      </c>
      <c r="BA386" s="1"/>
      <c r="BB386" s="1"/>
      <c r="BC386" s="1"/>
      <c r="BD386" s="1"/>
      <c r="BE386" s="1"/>
      <c r="BF386" s="1"/>
      <c r="BG386" s="1"/>
      <c r="BH386" s="1"/>
      <c r="BI386" s="1"/>
      <c r="BJ386" s="1"/>
      <c r="BK386" s="1"/>
      <c r="BL386" s="1"/>
      <c r="BM386" s="1">
        <v>43195.25</v>
      </c>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row>
    <row r="387" spans="1:216" x14ac:dyDescent="0.3">
      <c r="A387" s="3" t="str">
        <f>HYPERLINK("https://hpr-rps.hres.ca/reg-content/summary-basis-decision-detailTwo.php?lang=en&amp;linkID=SBD00397", "Probuphine")</f>
        <v>Probuphine</v>
      </c>
      <c r="B387" s="1" t="s">
        <v>1019</v>
      </c>
      <c r="C387" s="1" t="s">
        <v>1020</v>
      </c>
      <c r="D387" s="1" t="s">
        <v>1021</v>
      </c>
      <c r="E387" s="1">
        <v>42655.25</v>
      </c>
      <c r="F387" s="1"/>
      <c r="G387" s="1"/>
      <c r="H387" s="1">
        <v>42845.25</v>
      </c>
      <c r="I387" s="1"/>
      <c r="J387" s="1"/>
      <c r="K387" s="1"/>
      <c r="L387" s="1"/>
      <c r="M387" s="1"/>
      <c r="N387" s="1"/>
      <c r="O387" s="1"/>
      <c r="P387" s="1"/>
      <c r="Q387" s="1"/>
      <c r="R387" s="1"/>
      <c r="S387" s="1"/>
      <c r="T387" s="1"/>
      <c r="U387" s="1"/>
      <c r="V387" s="1"/>
      <c r="W387" s="1"/>
      <c r="X387" s="1"/>
      <c r="Y387" s="1"/>
      <c r="Z387" s="1"/>
      <c r="AA387" s="1"/>
      <c r="AB387" s="1"/>
      <c r="AC387" s="1"/>
      <c r="AD387" s="1"/>
      <c r="AE387" s="1"/>
      <c r="AF387" s="1">
        <v>42894.25</v>
      </c>
      <c r="AG387" s="1"/>
      <c r="AH387" s="1"/>
      <c r="AI387" s="1"/>
      <c r="AJ387" s="1"/>
      <c r="AK387" s="1"/>
      <c r="AL387" s="1"/>
      <c r="AM387" s="1"/>
      <c r="AN387" s="1"/>
      <c r="AO387" s="1"/>
      <c r="AP387" s="1"/>
      <c r="AQ387" s="1">
        <v>43117.25</v>
      </c>
      <c r="AR387" s="1">
        <v>43172.208333333343</v>
      </c>
      <c r="AS387" s="1"/>
      <c r="AT387" s="1"/>
      <c r="AU387" s="1">
        <v>43140.25</v>
      </c>
      <c r="AV387" s="1">
        <v>43203.25</v>
      </c>
      <c r="AW387" s="1"/>
      <c r="AX387" s="1"/>
      <c r="AY387" s="1"/>
      <c r="AZ387" s="1">
        <v>43203.25</v>
      </c>
      <c r="BA387" s="1"/>
      <c r="BB387" s="1"/>
      <c r="BC387" s="1"/>
      <c r="BD387" s="1"/>
      <c r="BE387" s="1"/>
      <c r="BF387" s="1"/>
      <c r="BG387" s="1"/>
      <c r="BH387" s="1"/>
      <c r="BI387" s="1"/>
      <c r="BJ387" s="1"/>
      <c r="BK387" s="1"/>
      <c r="BL387" s="1"/>
      <c r="BM387" s="1">
        <v>43208.25</v>
      </c>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row>
    <row r="388" spans="1:216" x14ac:dyDescent="0.3">
      <c r="A388" s="3" t="str">
        <f>HYPERLINK("https://hpr-rps.hres.ca/reg-content/summary-basis-decision-detailTwo.php?lang=en&amp;linkID=SBD00398", "Hadlima / Hadlima PushTouch")</f>
        <v>Hadlima / Hadlima PushTouch</v>
      </c>
      <c r="B388" s="1" t="s">
        <v>1022</v>
      </c>
      <c r="C388" s="1" t="s">
        <v>869</v>
      </c>
      <c r="D388" s="1" t="s">
        <v>1023</v>
      </c>
      <c r="E388" s="1">
        <v>42650.25</v>
      </c>
      <c r="F388" s="1"/>
      <c r="G388" s="1"/>
      <c r="H388" s="1">
        <v>42796.25</v>
      </c>
      <c r="I388" s="1"/>
      <c r="J388" s="1"/>
      <c r="K388" s="1"/>
      <c r="L388" s="1"/>
      <c r="M388" s="1"/>
      <c r="N388" s="1"/>
      <c r="O388" s="1"/>
      <c r="P388" s="1"/>
      <c r="Q388" s="1"/>
      <c r="R388" s="1"/>
      <c r="S388" s="1"/>
      <c r="T388" s="1"/>
      <c r="U388" s="1"/>
      <c r="V388" s="1"/>
      <c r="W388" s="1"/>
      <c r="X388" s="1"/>
      <c r="Y388" s="1"/>
      <c r="Z388" s="1"/>
      <c r="AA388" s="1"/>
      <c r="AB388" s="1"/>
      <c r="AC388" s="1"/>
      <c r="AD388" s="1"/>
      <c r="AE388" s="1"/>
      <c r="AF388" s="1">
        <v>42849.25</v>
      </c>
      <c r="AG388" s="1"/>
      <c r="AH388" s="1"/>
      <c r="AI388" s="1"/>
      <c r="AJ388" s="1"/>
      <c r="AK388" s="1"/>
      <c r="AL388" s="1"/>
      <c r="AM388" s="1"/>
      <c r="AN388" s="1"/>
      <c r="AO388" s="1"/>
      <c r="AP388" s="1"/>
      <c r="AQ388" s="1">
        <v>43074.25</v>
      </c>
      <c r="AR388" s="1">
        <v>43146.25</v>
      </c>
      <c r="AS388" s="1"/>
      <c r="AT388" s="1"/>
      <c r="AU388" s="1"/>
      <c r="AV388" s="1">
        <v>43111.25</v>
      </c>
      <c r="AW388" s="1"/>
      <c r="AX388" s="1"/>
      <c r="AY388" s="1"/>
      <c r="AZ388" s="1">
        <v>43147.25</v>
      </c>
      <c r="BA388" s="1"/>
      <c r="BB388" s="1"/>
      <c r="BC388" s="1"/>
      <c r="BD388" s="1"/>
      <c r="BE388" s="1"/>
      <c r="BF388" s="1"/>
      <c r="BG388" s="1"/>
      <c r="BH388" s="1"/>
      <c r="BI388" s="1"/>
      <c r="BJ388" s="1"/>
      <c r="BK388" s="1"/>
      <c r="BL388" s="1"/>
      <c r="BM388" s="1">
        <v>43228.25</v>
      </c>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row>
    <row r="389" spans="1:216" x14ac:dyDescent="0.3">
      <c r="A389" s="3" t="str">
        <f>HYPERLINK("https://hpr-rps.hres.ca/reg-content/summary-basis-decision-detailTwo.php?lang=en&amp;linkID=SBD00399", "Besponsa")</f>
        <v>Besponsa</v>
      </c>
      <c r="B389" s="1" t="s">
        <v>1024</v>
      </c>
      <c r="C389" s="1" t="s">
        <v>143</v>
      </c>
      <c r="D389" s="1" t="s">
        <v>1025</v>
      </c>
      <c r="E389" s="1">
        <v>42773.25</v>
      </c>
      <c r="F389" s="1"/>
      <c r="G389" s="1"/>
      <c r="H389" s="1">
        <v>42824.25</v>
      </c>
      <c r="I389" s="1"/>
      <c r="J389" s="1"/>
      <c r="K389" s="1"/>
      <c r="L389" s="1"/>
      <c r="M389" s="1"/>
      <c r="N389" s="1"/>
      <c r="O389" s="1"/>
      <c r="P389" s="1"/>
      <c r="Q389" s="1"/>
      <c r="R389" s="1"/>
      <c r="S389" s="1"/>
      <c r="T389" s="1"/>
      <c r="U389" s="1"/>
      <c r="V389" s="1"/>
      <c r="W389" s="1"/>
      <c r="X389" s="1"/>
      <c r="Y389" s="1"/>
      <c r="Z389" s="1"/>
      <c r="AA389" s="1"/>
      <c r="AB389" s="1"/>
      <c r="AC389" s="1"/>
      <c r="AD389" s="1"/>
      <c r="AE389" s="1"/>
      <c r="AF389" s="1">
        <v>42874.25</v>
      </c>
      <c r="AG389" s="1"/>
      <c r="AH389" s="1"/>
      <c r="AI389" s="1"/>
      <c r="AJ389" s="1"/>
      <c r="AK389" s="1"/>
      <c r="AL389" s="1"/>
      <c r="AM389" s="1"/>
      <c r="AN389" s="1"/>
      <c r="AO389" s="1">
        <v>43143.25</v>
      </c>
      <c r="AP389" s="1"/>
      <c r="AQ389" s="1">
        <v>43090.25</v>
      </c>
      <c r="AR389" s="1">
        <v>43174.208333333343</v>
      </c>
      <c r="AS389" s="1"/>
      <c r="AT389" s="1"/>
      <c r="AU389" s="1"/>
      <c r="AV389" s="1">
        <v>43171.208333333343</v>
      </c>
      <c r="AW389" s="1"/>
      <c r="AX389" s="1">
        <v>43181.208333333343</v>
      </c>
      <c r="AY389" s="1"/>
      <c r="AZ389" s="1">
        <v>43174.208333333343</v>
      </c>
      <c r="BA389" s="1"/>
      <c r="BB389" s="1"/>
      <c r="BC389" s="1"/>
      <c r="BD389" s="1"/>
      <c r="BE389" s="1"/>
      <c r="BF389" s="1"/>
      <c r="BG389" s="1"/>
      <c r="BH389" s="1"/>
      <c r="BI389" s="1"/>
      <c r="BJ389" s="1"/>
      <c r="BK389" s="1"/>
      <c r="BL389" s="1"/>
      <c r="BM389" s="1">
        <v>43174.208333333343</v>
      </c>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row>
    <row r="390" spans="1:216" x14ac:dyDescent="0.3">
      <c r="A390" s="3" t="str">
        <f>HYPERLINK("https://hpr-rps.hres.ca/reg-content/summary-basis-decision-detailTwo.php?lang=en&amp;linkID=SBD00400", "Erleada")</f>
        <v>Erleada</v>
      </c>
      <c r="B390" s="1" t="s">
        <v>1026</v>
      </c>
      <c r="C390" s="1" t="s">
        <v>201</v>
      </c>
      <c r="D390" s="1" t="s">
        <v>1027</v>
      </c>
      <c r="E390" s="1">
        <v>43025.25</v>
      </c>
      <c r="F390" s="1"/>
      <c r="G390" s="1"/>
      <c r="H390" s="1"/>
      <c r="I390" s="1"/>
      <c r="J390" s="1"/>
      <c r="K390" s="1"/>
      <c r="L390" s="1"/>
      <c r="M390" s="1"/>
      <c r="N390" s="1">
        <v>43040.208333333343</v>
      </c>
      <c r="O390" s="1"/>
      <c r="P390" s="1"/>
      <c r="Q390" s="1"/>
      <c r="R390" s="1"/>
      <c r="S390" s="1">
        <v>43070.25</v>
      </c>
      <c r="T390" s="1"/>
      <c r="U390" s="1"/>
      <c r="V390" s="1">
        <v>43076.25</v>
      </c>
      <c r="W390" s="1"/>
      <c r="X390" s="1"/>
      <c r="Y390" s="1"/>
      <c r="Z390" s="1"/>
      <c r="AA390" s="1"/>
      <c r="AB390" s="1"/>
      <c r="AC390" s="1"/>
      <c r="AD390" s="1"/>
      <c r="AE390" s="1"/>
      <c r="AF390" s="1">
        <v>43105.25</v>
      </c>
      <c r="AG390" s="1"/>
      <c r="AH390" s="1"/>
      <c r="AI390" s="1"/>
      <c r="AJ390" s="1"/>
      <c r="AK390" s="1"/>
      <c r="AL390" s="1"/>
      <c r="AM390" s="1"/>
      <c r="AN390" s="1"/>
      <c r="AO390" s="1"/>
      <c r="AP390" s="1"/>
      <c r="AQ390" s="1">
        <v>43182.208333333343</v>
      </c>
      <c r="AR390" s="1">
        <v>43271.25</v>
      </c>
      <c r="AS390" s="1"/>
      <c r="AT390" s="1"/>
      <c r="AU390" s="1"/>
      <c r="AV390" s="1">
        <v>43278.25</v>
      </c>
      <c r="AW390" s="1"/>
      <c r="AX390" s="1"/>
      <c r="AY390" s="1"/>
      <c r="AZ390" s="1">
        <v>43284.25</v>
      </c>
      <c r="BA390" s="1"/>
      <c r="BB390" s="1"/>
      <c r="BC390" s="1"/>
      <c r="BD390" s="1"/>
      <c r="BE390" s="1"/>
      <c r="BF390" s="1"/>
      <c r="BG390" s="1"/>
      <c r="BH390" s="1"/>
      <c r="BI390" s="1"/>
      <c r="BJ390" s="1"/>
      <c r="BK390" s="1"/>
      <c r="BL390" s="1"/>
      <c r="BM390" s="1">
        <v>43284.25</v>
      </c>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row>
    <row r="391" spans="1:216" x14ac:dyDescent="0.3">
      <c r="A391" s="3" t="str">
        <f>HYPERLINK("https://hpr-rps.hres.ca/reg-content/summary-basis-decision-detailTwo.php?lang=en&amp;linkID=SBD00402", "Symdeko")</f>
        <v>Symdeko</v>
      </c>
      <c r="B391" s="1" t="s">
        <v>1028</v>
      </c>
      <c r="C391" s="1" t="s">
        <v>1029</v>
      </c>
      <c r="D391" s="1" t="s">
        <v>1030</v>
      </c>
      <c r="E391" s="1">
        <v>42970.25</v>
      </c>
      <c r="F391" s="1"/>
      <c r="G391" s="1"/>
      <c r="H391" s="1"/>
      <c r="I391" s="1"/>
      <c r="J391" s="1"/>
      <c r="K391" s="1"/>
      <c r="L391" s="1"/>
      <c r="M391" s="1"/>
      <c r="N391" s="1">
        <v>42999.25</v>
      </c>
      <c r="O391" s="1"/>
      <c r="P391" s="1"/>
      <c r="Q391" s="1"/>
      <c r="R391" s="1"/>
      <c r="S391" s="1">
        <v>43026.25</v>
      </c>
      <c r="T391" s="1"/>
      <c r="U391" s="1"/>
      <c r="V391" s="1">
        <v>43056.25</v>
      </c>
      <c r="W391" s="1"/>
      <c r="X391" s="1"/>
      <c r="Y391" s="1"/>
      <c r="Z391" s="1">
        <v>43081.25</v>
      </c>
      <c r="AA391" s="1"/>
      <c r="AB391" s="1"/>
      <c r="AC391" s="1">
        <v>43090.25</v>
      </c>
      <c r="AD391" s="1"/>
      <c r="AE391" s="1"/>
      <c r="AF391" s="1">
        <v>43098.25</v>
      </c>
      <c r="AG391" s="1"/>
      <c r="AH391" s="1"/>
      <c r="AI391" s="1"/>
      <c r="AJ391" s="1"/>
      <c r="AK391" s="1"/>
      <c r="AL391" s="1"/>
      <c r="AM391" s="1"/>
      <c r="AN391" s="1"/>
      <c r="AO391" s="1"/>
      <c r="AP391" s="1"/>
      <c r="AQ391" s="1">
        <v>43238.25</v>
      </c>
      <c r="AR391" s="1">
        <v>43277.25</v>
      </c>
      <c r="AS391" s="1">
        <v>43273.25</v>
      </c>
      <c r="AT391" s="1"/>
      <c r="AU391" s="1"/>
      <c r="AV391" s="1">
        <v>43278.25</v>
      </c>
      <c r="AW391" s="1"/>
      <c r="AX391" s="1"/>
      <c r="AY391" s="1"/>
      <c r="AZ391" s="1">
        <v>43273.25</v>
      </c>
      <c r="BA391" s="1"/>
      <c r="BB391" s="1"/>
      <c r="BC391" s="1"/>
      <c r="BD391" s="1"/>
      <c r="BE391" s="1"/>
      <c r="BF391" s="1"/>
      <c r="BG391" s="1"/>
      <c r="BH391" s="1"/>
      <c r="BI391" s="1"/>
      <c r="BJ391" s="1"/>
      <c r="BK391" s="1"/>
      <c r="BL391" s="1"/>
      <c r="BM391" s="1">
        <v>43278.25</v>
      </c>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row>
    <row r="392" spans="1:216" x14ac:dyDescent="0.3">
      <c r="A392" s="3" t="str">
        <f>HYPERLINK("https://hpr-rps.hres.ca/reg-content/summary-basis-decision-detailTwo.php?lang=en&amp;linkID=SBD00403", "Steglatro")</f>
        <v>Steglatro</v>
      </c>
      <c r="B392" s="1" t="s">
        <v>1031</v>
      </c>
      <c r="C392" s="1" t="s">
        <v>415</v>
      </c>
      <c r="D392" s="1" t="s">
        <v>1032</v>
      </c>
      <c r="E392" s="1">
        <v>42450.208333333343</v>
      </c>
      <c r="F392" s="1"/>
      <c r="G392" s="1"/>
      <c r="H392" s="1">
        <v>42838.25</v>
      </c>
      <c r="I392" s="1"/>
      <c r="J392" s="1"/>
      <c r="K392" s="1"/>
      <c r="L392" s="1"/>
      <c r="M392" s="1"/>
      <c r="N392" s="1"/>
      <c r="O392" s="1"/>
      <c r="P392" s="1"/>
      <c r="Q392" s="1"/>
      <c r="R392" s="1"/>
      <c r="S392" s="1"/>
      <c r="T392" s="1"/>
      <c r="U392" s="1"/>
      <c r="V392" s="1"/>
      <c r="W392" s="1"/>
      <c r="X392" s="1"/>
      <c r="Y392" s="1"/>
      <c r="Z392" s="1">
        <v>42873.25</v>
      </c>
      <c r="AA392" s="1"/>
      <c r="AB392" s="1"/>
      <c r="AC392" s="1">
        <v>42884.25</v>
      </c>
      <c r="AD392" s="1"/>
      <c r="AE392" s="1"/>
      <c r="AF392" s="1">
        <v>42930.25</v>
      </c>
      <c r="AG392" s="1"/>
      <c r="AH392" s="1"/>
      <c r="AI392" s="1"/>
      <c r="AJ392" s="1"/>
      <c r="AK392" s="1"/>
      <c r="AL392" s="1"/>
      <c r="AM392" s="1"/>
      <c r="AN392" s="1"/>
      <c r="AO392" s="1"/>
      <c r="AP392" s="1"/>
      <c r="AQ392" s="1">
        <v>43161.25</v>
      </c>
      <c r="AR392" s="1">
        <v>43221.25</v>
      </c>
      <c r="AS392" s="1">
        <v>43109.25</v>
      </c>
      <c r="AT392" s="1"/>
      <c r="AU392" s="1"/>
      <c r="AV392" s="1">
        <v>43224.25</v>
      </c>
      <c r="AW392" s="1"/>
      <c r="AX392" s="1">
        <v>43195.25</v>
      </c>
      <c r="AY392" s="1"/>
      <c r="AZ392" s="1">
        <v>43228.25</v>
      </c>
      <c r="BA392" s="1"/>
      <c r="BB392" s="1"/>
      <c r="BC392" s="1"/>
      <c r="BD392" s="1"/>
      <c r="BE392" s="1"/>
      <c r="BF392" s="1"/>
      <c r="BG392" s="1"/>
      <c r="BH392" s="1"/>
      <c r="BI392" s="1"/>
      <c r="BJ392" s="1"/>
      <c r="BK392" s="1"/>
      <c r="BL392" s="1"/>
      <c r="BM392" s="1">
        <v>43229.25</v>
      </c>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row>
    <row r="393" spans="1:216" x14ac:dyDescent="0.3">
      <c r="A393" s="3" t="str">
        <f>HYPERLINK("https://hpr-rps.hres.ca/reg-content/summary-basis-decision-detailTwo.php?lang=en&amp;linkID=SBD00404", "MVASI")</f>
        <v>MVASI</v>
      </c>
      <c r="B393" s="1" t="s">
        <v>114</v>
      </c>
      <c r="C393" s="1" t="s">
        <v>286</v>
      </c>
      <c r="D393" s="1" t="s">
        <v>1033</v>
      </c>
      <c r="E393" s="1">
        <v>42643.25</v>
      </c>
      <c r="F393" s="1"/>
      <c r="G393" s="1"/>
      <c r="H393" s="1">
        <v>42725.25</v>
      </c>
      <c r="I393" s="1"/>
      <c r="J393" s="1"/>
      <c r="K393" s="1"/>
      <c r="L393" s="1"/>
      <c r="M393" s="1"/>
      <c r="N393" s="1"/>
      <c r="O393" s="1"/>
      <c r="P393" s="1"/>
      <c r="Q393" s="1"/>
      <c r="R393" s="1"/>
      <c r="S393" s="1"/>
      <c r="T393" s="1"/>
      <c r="U393" s="1"/>
      <c r="V393" s="1"/>
      <c r="W393" s="1"/>
      <c r="X393" s="1"/>
      <c r="Y393" s="1"/>
      <c r="Z393" s="1"/>
      <c r="AA393" s="1"/>
      <c r="AB393" s="1"/>
      <c r="AC393" s="1"/>
      <c r="AD393" s="1"/>
      <c r="AE393" s="1"/>
      <c r="AF393" s="1">
        <v>42783.25</v>
      </c>
      <c r="AG393" s="1"/>
      <c r="AH393" s="1"/>
      <c r="AI393" s="1"/>
      <c r="AJ393" s="1"/>
      <c r="AK393" s="1"/>
      <c r="AL393" s="1"/>
      <c r="AM393" s="1"/>
      <c r="AN393" s="1"/>
      <c r="AO393" s="1">
        <v>42863.25</v>
      </c>
      <c r="AP393" s="1"/>
      <c r="AQ393" s="1">
        <v>43034.25</v>
      </c>
      <c r="AR393" s="1">
        <v>43082.25</v>
      </c>
      <c r="AS393" s="1"/>
      <c r="AT393" s="1"/>
      <c r="AU393" s="1"/>
      <c r="AV393" s="1">
        <v>43062.25</v>
      </c>
      <c r="AW393" s="1"/>
      <c r="AX393" s="1"/>
      <c r="AY393" s="1"/>
      <c r="AZ393" s="1">
        <v>43077.25</v>
      </c>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row>
    <row r="394" spans="1:216" x14ac:dyDescent="0.3">
      <c r="A394" s="3" t="str">
        <f>HYPERLINK("https://hpr-rps.hres.ca/reg-content/summary-basis-decision-detailTwo.php?lang=en&amp;linkID=SBD00405", "Biktarvy")</f>
        <v>Biktarvy</v>
      </c>
      <c r="B394" s="1" t="s">
        <v>1034</v>
      </c>
      <c r="C394" s="1" t="s">
        <v>546</v>
      </c>
      <c r="D394" s="1" t="s">
        <v>1035</v>
      </c>
      <c r="E394" s="1"/>
      <c r="F394" s="1"/>
      <c r="G394" s="1"/>
      <c r="H394" s="1">
        <v>42942.25</v>
      </c>
      <c r="I394" s="1"/>
      <c r="J394" s="1"/>
      <c r="K394" s="1"/>
      <c r="L394" s="1"/>
      <c r="M394" s="1"/>
      <c r="N394" s="1"/>
      <c r="O394" s="1"/>
      <c r="P394" s="1"/>
      <c r="Q394" s="1"/>
      <c r="R394" s="1"/>
      <c r="S394" s="1"/>
      <c r="T394" s="1"/>
      <c r="U394" s="1"/>
      <c r="V394" s="1"/>
      <c r="W394" s="1"/>
      <c r="X394" s="1"/>
      <c r="Y394" s="1"/>
      <c r="Z394" s="1"/>
      <c r="AA394" s="1"/>
      <c r="AB394" s="1"/>
      <c r="AC394" s="1"/>
      <c r="AD394" s="1"/>
      <c r="AE394" s="1"/>
      <c r="AF394" s="1">
        <v>42992.25</v>
      </c>
      <c r="AG394" s="1"/>
      <c r="AH394" s="1"/>
      <c r="AI394" s="1"/>
      <c r="AJ394" s="1"/>
      <c r="AK394" s="1"/>
      <c r="AL394" s="1"/>
      <c r="AM394" s="1"/>
      <c r="AN394" s="1"/>
      <c r="AO394" s="1"/>
      <c r="AP394" s="1"/>
      <c r="AQ394" s="1">
        <v>43152.25</v>
      </c>
      <c r="AR394" s="1">
        <v>43290.25</v>
      </c>
      <c r="AS394" s="1">
        <v>43286.25</v>
      </c>
      <c r="AT394" s="1"/>
      <c r="AU394" s="1"/>
      <c r="AV394" s="1">
        <v>43290.25</v>
      </c>
      <c r="AW394" s="1"/>
      <c r="AX394" s="1"/>
      <c r="AY394" s="1"/>
      <c r="AZ394" s="1">
        <v>43291.25</v>
      </c>
      <c r="BA394" s="1"/>
      <c r="BB394" s="1"/>
      <c r="BC394" s="1"/>
      <c r="BD394" s="1"/>
      <c r="BE394" s="1"/>
      <c r="BF394" s="1"/>
      <c r="BG394" s="1"/>
      <c r="BH394" s="1"/>
      <c r="BI394" s="1"/>
      <c r="BJ394" s="1"/>
      <c r="BK394" s="1"/>
      <c r="BL394" s="1"/>
      <c r="BM394" s="1">
        <v>43291.25</v>
      </c>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row>
    <row r="395" spans="1:216" x14ac:dyDescent="0.3">
      <c r="A395" s="3" t="str">
        <f>HYPERLINK("https://hpr-rps.hres.ca/reg-content/summary-basis-decision-detailTwo.php?lang=en&amp;linkID=SBD00406", "Eucrisa")</f>
        <v>Eucrisa</v>
      </c>
      <c r="B395" s="1" t="s">
        <v>1036</v>
      </c>
      <c r="C395" s="1" t="s">
        <v>143</v>
      </c>
      <c r="D395" s="1" t="s">
        <v>1037</v>
      </c>
      <c r="E395" s="1">
        <v>42816.208333333343</v>
      </c>
      <c r="F395" s="1"/>
      <c r="G395" s="1"/>
      <c r="H395" s="1">
        <v>42909.25</v>
      </c>
      <c r="I395" s="1"/>
      <c r="J395" s="1"/>
      <c r="K395" s="1"/>
      <c r="L395" s="1"/>
      <c r="M395" s="1"/>
      <c r="N395" s="1"/>
      <c r="O395" s="1"/>
      <c r="P395" s="1"/>
      <c r="Q395" s="1"/>
      <c r="R395" s="1"/>
      <c r="S395" s="1"/>
      <c r="T395" s="1"/>
      <c r="U395" s="1"/>
      <c r="V395" s="1"/>
      <c r="W395" s="1"/>
      <c r="X395" s="1"/>
      <c r="Y395" s="1"/>
      <c r="Z395" s="1"/>
      <c r="AA395" s="1"/>
      <c r="AB395" s="1"/>
      <c r="AC395" s="1"/>
      <c r="AD395" s="1"/>
      <c r="AE395" s="1"/>
      <c r="AF395" s="1">
        <v>42958.25</v>
      </c>
      <c r="AG395" s="1"/>
      <c r="AH395" s="1"/>
      <c r="AI395" s="1"/>
      <c r="AJ395" s="1"/>
      <c r="AK395" s="1"/>
      <c r="AL395" s="1"/>
      <c r="AM395" s="1"/>
      <c r="AN395" s="1"/>
      <c r="AO395" s="1"/>
      <c r="AP395" s="1"/>
      <c r="AQ395" s="1">
        <v>43161.25</v>
      </c>
      <c r="AR395" s="1">
        <v>43234.25</v>
      </c>
      <c r="AS395" s="1"/>
      <c r="AT395" s="1"/>
      <c r="AU395" s="1"/>
      <c r="AV395" s="1">
        <v>43258.25</v>
      </c>
      <c r="AW395" s="1"/>
      <c r="AX395" s="1"/>
      <c r="AY395" s="1"/>
      <c r="AZ395" s="1">
        <v>43258.25</v>
      </c>
      <c r="BA395" s="1"/>
      <c r="BB395" s="1"/>
      <c r="BC395" s="1"/>
      <c r="BD395" s="1"/>
      <c r="BE395" s="1"/>
      <c r="BF395" s="1"/>
      <c r="BG395" s="1"/>
      <c r="BH395" s="1"/>
      <c r="BI395" s="1"/>
      <c r="BJ395" s="1"/>
      <c r="BK395" s="1"/>
      <c r="BL395" s="1"/>
      <c r="BM395" s="1">
        <v>43258.25</v>
      </c>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row>
    <row r="396" spans="1:216" x14ac:dyDescent="0.3">
      <c r="A396" s="3" t="str">
        <f>HYPERLINK("https://hpr-rps.hres.ca/reg-content/summary-basis-decision-detailTwo.php?lang=en&amp;linkID=SBD00407", "Panhematin")</f>
        <v>Panhematin</v>
      </c>
      <c r="B396" s="1" t="s">
        <v>1038</v>
      </c>
      <c r="C396" s="1" t="s">
        <v>1039</v>
      </c>
      <c r="D396" s="1" t="s">
        <v>1040</v>
      </c>
      <c r="E396" s="1"/>
      <c r="F396" s="1"/>
      <c r="G396" s="1"/>
      <c r="H396" s="1"/>
      <c r="I396" s="1"/>
      <c r="J396" s="1"/>
      <c r="K396" s="1"/>
      <c r="L396" s="1"/>
      <c r="M396" s="1"/>
      <c r="N396" s="1">
        <v>43039.208333333343</v>
      </c>
      <c r="O396" s="1"/>
      <c r="P396" s="1"/>
      <c r="Q396" s="1"/>
      <c r="R396" s="1"/>
      <c r="S396" s="1">
        <v>43061.25</v>
      </c>
      <c r="T396" s="1"/>
      <c r="U396" s="1"/>
      <c r="V396" s="1">
        <v>43089.25</v>
      </c>
      <c r="W396" s="1"/>
      <c r="X396" s="1"/>
      <c r="Y396" s="1"/>
      <c r="Z396" s="1"/>
      <c r="AA396" s="1"/>
      <c r="AB396" s="1"/>
      <c r="AC396" s="1"/>
      <c r="AD396" s="1"/>
      <c r="AE396" s="1"/>
      <c r="AF396" s="1">
        <v>43116.25</v>
      </c>
      <c r="AG396" s="1"/>
      <c r="AH396" s="1"/>
      <c r="AI396" s="1"/>
      <c r="AJ396" s="1"/>
      <c r="AK396" s="1"/>
      <c r="AL396" s="1"/>
      <c r="AM396" s="1"/>
      <c r="AN396" s="1"/>
      <c r="AO396" s="1">
        <v>43264.25</v>
      </c>
      <c r="AP396" s="1"/>
      <c r="AQ396" s="1">
        <v>43217.25</v>
      </c>
      <c r="AR396" s="1">
        <v>43293.25</v>
      </c>
      <c r="AS396" s="1"/>
      <c r="AT396" s="1"/>
      <c r="AU396" s="1"/>
      <c r="AV396" s="1">
        <v>43293.25</v>
      </c>
      <c r="AW396" s="1"/>
      <c r="AX396" s="1"/>
      <c r="AY396" s="1"/>
      <c r="AZ396" s="1">
        <v>43294.25</v>
      </c>
      <c r="BA396" s="1"/>
      <c r="BB396" s="1"/>
      <c r="BC396" s="1"/>
      <c r="BD396" s="1"/>
      <c r="BE396" s="1"/>
      <c r="BF396" s="1"/>
      <c r="BG396" s="1"/>
      <c r="BH396" s="1"/>
      <c r="BI396" s="1"/>
      <c r="BJ396" s="1"/>
      <c r="BK396" s="1"/>
      <c r="BL396" s="1"/>
      <c r="BM396" s="1">
        <v>43294.25</v>
      </c>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row>
    <row r="397" spans="1:216" x14ac:dyDescent="0.3">
      <c r="A397" s="3" t="str">
        <f>HYPERLINK("https://hpr-rps.hres.ca/reg-content/summary-basis-decision-detailTwo.php?lang=en&amp;linkID=SBD00408", "Monoferric")</f>
        <v>Monoferric</v>
      </c>
      <c r="B397" s="1" t="s">
        <v>1041</v>
      </c>
      <c r="C397" s="1" t="s">
        <v>1042</v>
      </c>
      <c r="D397" s="1" t="s">
        <v>1043</v>
      </c>
      <c r="E397" s="1">
        <v>42256.25</v>
      </c>
      <c r="F397" s="1"/>
      <c r="G397" s="1"/>
      <c r="H397" s="1">
        <v>42488.25</v>
      </c>
      <c r="I397" s="1"/>
      <c r="J397" s="1"/>
      <c r="K397" s="1"/>
      <c r="L397" s="1"/>
      <c r="M397" s="1"/>
      <c r="N397" s="1"/>
      <c r="O397" s="1"/>
      <c r="P397" s="1"/>
      <c r="Q397" s="1"/>
      <c r="R397" s="1"/>
      <c r="S397" s="1"/>
      <c r="T397" s="1"/>
      <c r="U397" s="1"/>
      <c r="V397" s="1"/>
      <c r="W397" s="1"/>
      <c r="X397" s="1"/>
      <c r="Y397" s="1"/>
      <c r="Z397" s="1">
        <v>42531.25</v>
      </c>
      <c r="AA397" s="1"/>
      <c r="AB397" s="1"/>
      <c r="AC397" s="1">
        <v>42556.25</v>
      </c>
      <c r="AD397" s="1"/>
      <c r="AE397" s="1"/>
      <c r="AF397" s="1">
        <v>42564.25</v>
      </c>
      <c r="AG397" s="1"/>
      <c r="AH397" s="1"/>
      <c r="AI397" s="1"/>
      <c r="AJ397" s="1"/>
      <c r="AK397" s="1"/>
      <c r="AL397" s="1"/>
      <c r="AM397" s="1"/>
      <c r="AN397" s="1"/>
      <c r="AO397" s="1"/>
      <c r="AP397" s="1"/>
      <c r="AQ397" s="1"/>
      <c r="AR397" s="1"/>
      <c r="AS397" s="1"/>
      <c r="AT397" s="1"/>
      <c r="AU397" s="1"/>
      <c r="AV397" s="1"/>
      <c r="AW397" s="1"/>
      <c r="AX397" s="1">
        <v>42803.25</v>
      </c>
      <c r="AY397" s="1"/>
      <c r="AZ397" s="1"/>
      <c r="BA397" s="1"/>
      <c r="BB397" s="1"/>
      <c r="BC397" s="1"/>
      <c r="BD397" s="1"/>
      <c r="BE397" s="1"/>
      <c r="BF397" s="1"/>
      <c r="BG397" s="1"/>
      <c r="BH397" s="1"/>
      <c r="BI397" s="1"/>
      <c r="BJ397" s="1"/>
      <c r="BK397" s="1"/>
      <c r="BL397" s="1"/>
      <c r="BM397" s="1"/>
      <c r="BN397" s="1"/>
      <c r="BO397" s="1"/>
      <c r="BP397" s="1">
        <v>42852.25</v>
      </c>
      <c r="BQ397" s="1"/>
      <c r="BR397" s="1"/>
      <c r="BS397" s="1"/>
      <c r="BT397" s="1"/>
      <c r="BU397" s="1"/>
      <c r="BV397" s="1"/>
      <c r="BW397" s="1"/>
      <c r="BX397" s="1"/>
      <c r="BY397" s="1">
        <v>42934.25</v>
      </c>
      <c r="BZ397" s="1"/>
      <c r="CA397" s="1"/>
      <c r="CB397" s="1"/>
      <c r="CC397" s="1"/>
      <c r="CD397" s="1"/>
      <c r="CE397" s="1"/>
      <c r="CF397" s="1"/>
      <c r="CG397" s="1"/>
      <c r="CH397" s="1"/>
      <c r="CI397" s="1"/>
      <c r="CJ397" s="1"/>
      <c r="CK397" s="1"/>
      <c r="CL397" s="1"/>
      <c r="CM397" s="1"/>
      <c r="CN397" s="1"/>
      <c r="CO397" s="1"/>
      <c r="CP397" s="1"/>
      <c r="CQ397" s="1"/>
      <c r="CR397" s="1">
        <v>42975.25</v>
      </c>
      <c r="CS397" s="1"/>
      <c r="CT397" s="1"/>
      <c r="CU397" s="1"/>
      <c r="CV397" s="1"/>
      <c r="CW397" s="1"/>
      <c r="CX397" s="1"/>
      <c r="CY397" s="1"/>
      <c r="CZ397" s="1"/>
      <c r="DA397" s="1"/>
      <c r="DB397" s="1"/>
      <c r="DC397" s="1">
        <v>43238.25</v>
      </c>
      <c r="DD397" s="1">
        <v>43272.25</v>
      </c>
      <c r="DE397" s="1"/>
      <c r="DF397" s="1"/>
      <c r="DG397" s="1">
        <v>43196.25</v>
      </c>
      <c r="DH397" s="1">
        <v>43272.25</v>
      </c>
      <c r="DI397" s="1"/>
      <c r="DJ397" s="1"/>
      <c r="DK397" s="1"/>
      <c r="DL397" s="1">
        <v>43272.25</v>
      </c>
      <c r="DM397" s="1"/>
      <c r="DN397" s="1"/>
      <c r="DO397" s="1"/>
      <c r="DP397" s="1"/>
      <c r="DQ397" s="1"/>
      <c r="DR397" s="1"/>
      <c r="DS397" s="1"/>
      <c r="DT397" s="1"/>
      <c r="DU397" s="1"/>
      <c r="DV397" s="1"/>
      <c r="DW397" s="1"/>
      <c r="DX397" s="1"/>
      <c r="DY397" s="1">
        <v>43273.25</v>
      </c>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row>
    <row r="398" spans="1:216" x14ac:dyDescent="0.3">
      <c r="A398" s="3" t="str">
        <f>HYPERLINK("https://hpr-rps.hres.ca/reg-content/summary-basis-decision-detailTwo.php?lang=en&amp;linkID=SBD00409", "Rayaldee")</f>
        <v>Rayaldee</v>
      </c>
      <c r="B398" s="1" t="s">
        <v>1044</v>
      </c>
      <c r="C398" s="1" t="s">
        <v>978</v>
      </c>
      <c r="D398" s="1" t="s">
        <v>1045</v>
      </c>
      <c r="E398" s="1">
        <v>42387.25</v>
      </c>
      <c r="F398" s="1"/>
      <c r="G398" s="1"/>
      <c r="H398" s="1">
        <v>42864.25</v>
      </c>
      <c r="I398" s="1"/>
      <c r="J398" s="1"/>
      <c r="K398" s="1"/>
      <c r="L398" s="1"/>
      <c r="M398" s="1"/>
      <c r="N398" s="1"/>
      <c r="O398" s="1"/>
      <c r="P398" s="1"/>
      <c r="Q398" s="1"/>
      <c r="R398" s="1"/>
      <c r="S398" s="1"/>
      <c r="T398" s="1"/>
      <c r="U398" s="1"/>
      <c r="V398" s="1"/>
      <c r="W398" s="1"/>
      <c r="X398" s="1"/>
      <c r="Y398" s="1"/>
      <c r="Z398" s="1">
        <v>42912.25</v>
      </c>
      <c r="AA398" s="1"/>
      <c r="AB398" s="1"/>
      <c r="AC398" s="1">
        <v>42956.25</v>
      </c>
      <c r="AD398" s="1"/>
      <c r="AE398" s="1"/>
      <c r="AF398" s="1">
        <v>42992.25</v>
      </c>
      <c r="AG398" s="1"/>
      <c r="AH398" s="1"/>
      <c r="AI398" s="1"/>
      <c r="AJ398" s="1"/>
      <c r="AK398" s="1"/>
      <c r="AL398" s="1"/>
      <c r="AM398" s="1"/>
      <c r="AN398" s="1"/>
      <c r="AO398" s="1"/>
      <c r="AP398" s="1"/>
      <c r="AQ398" s="1"/>
      <c r="AR398" s="1">
        <v>43291.25</v>
      </c>
      <c r="AS398" s="1">
        <v>43282.25</v>
      </c>
      <c r="AT398" s="1"/>
      <c r="AU398" s="1"/>
      <c r="AV398" s="1">
        <v>43282.25</v>
      </c>
      <c r="AW398" s="1"/>
      <c r="AX398" s="1"/>
      <c r="AY398" s="1"/>
      <c r="AZ398" s="1">
        <v>43291.25</v>
      </c>
      <c r="BA398" s="1"/>
      <c r="BB398" s="1"/>
      <c r="BC398" s="1"/>
      <c r="BD398" s="1"/>
      <c r="BE398" s="1"/>
      <c r="BF398" s="1"/>
      <c r="BG398" s="1"/>
      <c r="BH398" s="1"/>
      <c r="BI398" s="1"/>
      <c r="BJ398" s="1"/>
      <c r="BK398" s="1"/>
      <c r="BL398" s="1"/>
      <c r="BM398" s="1">
        <v>43291.25</v>
      </c>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row>
    <row r="399" spans="1:216" x14ac:dyDescent="0.3">
      <c r="A399" s="3" t="str">
        <f>HYPERLINK("https://hpr-rps.hres.ca/reg-content/summary-basis-decision-detailTwo.php?lang=en&amp;linkID=SBD00410", "Olumiant")</f>
        <v>Olumiant</v>
      </c>
      <c r="B399" s="1" t="s">
        <v>1046</v>
      </c>
      <c r="C399" s="1" t="s">
        <v>140</v>
      </c>
      <c r="D399" s="1" t="s">
        <v>1047</v>
      </c>
      <c r="E399" s="1">
        <v>42398.25</v>
      </c>
      <c r="F399" s="1"/>
      <c r="G399" s="1"/>
      <c r="H399" s="1">
        <v>42458.25</v>
      </c>
      <c r="I399" s="1"/>
      <c r="J399" s="1"/>
      <c r="K399" s="1"/>
      <c r="L399" s="1"/>
      <c r="M399" s="1"/>
      <c r="N399" s="1"/>
      <c r="O399" s="1"/>
      <c r="P399" s="1"/>
      <c r="Q399" s="1"/>
      <c r="R399" s="1"/>
      <c r="S399" s="1"/>
      <c r="T399" s="1"/>
      <c r="U399" s="1"/>
      <c r="V399" s="1"/>
      <c r="W399" s="1"/>
      <c r="X399" s="1"/>
      <c r="Y399" s="1"/>
      <c r="Z399" s="1"/>
      <c r="AA399" s="1"/>
      <c r="AB399" s="1"/>
      <c r="AC399" s="1"/>
      <c r="AD399" s="1"/>
      <c r="AE399" s="1"/>
      <c r="AF399" s="1">
        <v>42507.25</v>
      </c>
      <c r="AG399" s="1"/>
      <c r="AH399" s="1"/>
      <c r="AI399" s="1"/>
      <c r="AJ399" s="1"/>
      <c r="AK399" s="1"/>
      <c r="AL399" s="1"/>
      <c r="AM399" s="1"/>
      <c r="AN399" s="1"/>
      <c r="AO399" s="1"/>
      <c r="AP399" s="1"/>
      <c r="AQ399" s="1"/>
      <c r="AR399" s="1"/>
      <c r="AS399" s="1">
        <v>42689.25</v>
      </c>
      <c r="AT399" s="1"/>
      <c r="AU399" s="1"/>
      <c r="AV399" s="1">
        <v>42927.25</v>
      </c>
      <c r="AW399" s="1"/>
      <c r="AX399" s="1">
        <v>42689.25</v>
      </c>
      <c r="AY399" s="1"/>
      <c r="AZ399" s="1"/>
      <c r="BA399" s="1"/>
      <c r="BB399" s="1"/>
      <c r="BC399" s="1"/>
      <c r="BD399" s="1"/>
      <c r="BE399" s="1"/>
      <c r="BF399" s="1"/>
      <c r="BG399" s="1"/>
      <c r="BH399" s="1"/>
      <c r="BI399" s="1"/>
      <c r="BJ399" s="1"/>
      <c r="BK399" s="1"/>
      <c r="BL399" s="1"/>
      <c r="BM399" s="1"/>
      <c r="BN399" s="1"/>
      <c r="BO399" s="1"/>
      <c r="BP399" s="1"/>
      <c r="BQ399" s="1"/>
      <c r="BR399" s="1"/>
      <c r="BS399" s="1"/>
      <c r="BT399" s="1">
        <v>42978.25</v>
      </c>
      <c r="BU399" s="1"/>
      <c r="BV399" s="1"/>
      <c r="BW399" s="1"/>
      <c r="BX399" s="1"/>
      <c r="BY399" s="1">
        <v>43133.25</v>
      </c>
      <c r="BZ399" s="1"/>
      <c r="CA399" s="1"/>
      <c r="CB399" s="1"/>
      <c r="CC399" s="1">
        <v>43136.25</v>
      </c>
      <c r="CD399" s="1"/>
      <c r="CE399" s="1"/>
      <c r="CF399" s="1"/>
      <c r="CG399" s="1"/>
      <c r="CH399" s="1"/>
      <c r="CI399" s="1"/>
      <c r="CJ399" s="1"/>
      <c r="CK399" s="1"/>
      <c r="CL399" s="1"/>
      <c r="CM399" s="1"/>
      <c r="CN399" s="1"/>
      <c r="CO399" s="1"/>
      <c r="CP399" s="1"/>
      <c r="CQ399" s="1"/>
      <c r="CR399" s="1">
        <v>43182.208333333343</v>
      </c>
      <c r="CS399" s="1"/>
      <c r="CT399" s="1"/>
      <c r="CU399" s="1"/>
      <c r="CV399" s="1"/>
      <c r="CW399" s="1"/>
      <c r="CX399" s="1"/>
      <c r="CY399" s="1"/>
      <c r="CZ399" s="1"/>
      <c r="DA399" s="1"/>
      <c r="DB399" s="1"/>
      <c r="DC399" s="1"/>
      <c r="DD399" s="1">
        <v>43300.25</v>
      </c>
      <c r="DE399" s="1"/>
      <c r="DF399" s="1"/>
      <c r="DG399" s="1">
        <v>43252.25</v>
      </c>
      <c r="DH399" s="1">
        <v>43304.25</v>
      </c>
      <c r="DI399" s="1"/>
      <c r="DJ399" s="1"/>
      <c r="DK399" s="1"/>
      <c r="DL399" s="1">
        <v>43328.25</v>
      </c>
      <c r="DM399" s="1"/>
      <c r="DN399" s="1"/>
      <c r="DO399" s="1"/>
      <c r="DP399" s="1"/>
      <c r="DQ399" s="1"/>
      <c r="DR399" s="1"/>
      <c r="DS399" s="1"/>
      <c r="DT399" s="1"/>
      <c r="DU399" s="1"/>
      <c r="DV399" s="1"/>
      <c r="DW399" s="1"/>
      <c r="DX399" s="1"/>
      <c r="DY399" s="1">
        <v>43329.25</v>
      </c>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row>
    <row r="400" spans="1:216" x14ac:dyDescent="0.3">
      <c r="A400" s="3" t="str">
        <f>HYPERLINK("https://hpr-rps.hres.ca/reg-content/summary-basis-decision-detailTwo.php?lang=en&amp;linkID=SBD00411", "Hemlibra")</f>
        <v>Hemlibra</v>
      </c>
      <c r="B400" s="1" t="s">
        <v>1048</v>
      </c>
      <c r="C400" s="1" t="s">
        <v>84</v>
      </c>
      <c r="D400" s="1" t="s">
        <v>1049</v>
      </c>
      <c r="E400" s="1">
        <v>43054.25</v>
      </c>
      <c r="F400" s="1"/>
      <c r="G400" s="1"/>
      <c r="H400" s="1"/>
      <c r="I400" s="1"/>
      <c r="J400" s="1"/>
      <c r="K400" s="1"/>
      <c r="L400" s="1"/>
      <c r="M400" s="1"/>
      <c r="N400" s="1">
        <v>43061.25</v>
      </c>
      <c r="O400" s="1"/>
      <c r="P400" s="1"/>
      <c r="Q400" s="1"/>
      <c r="R400" s="1"/>
      <c r="S400" s="1">
        <v>43091.25</v>
      </c>
      <c r="T400" s="1"/>
      <c r="U400" s="1"/>
      <c r="V400" s="1">
        <v>43109.25</v>
      </c>
      <c r="W400" s="1"/>
      <c r="X400" s="1"/>
      <c r="Y400" s="1"/>
      <c r="Z400" s="1"/>
      <c r="AA400" s="1"/>
      <c r="AB400" s="1"/>
      <c r="AC400" s="1"/>
      <c r="AD400" s="1"/>
      <c r="AE400" s="1"/>
      <c r="AF400" s="1">
        <v>43136.25</v>
      </c>
      <c r="AG400" s="1"/>
      <c r="AH400" s="1"/>
      <c r="AI400" s="1"/>
      <c r="AJ400" s="1"/>
      <c r="AK400" s="1"/>
      <c r="AL400" s="1"/>
      <c r="AM400" s="1"/>
      <c r="AN400" s="1"/>
      <c r="AO400" s="1">
        <v>43304.25</v>
      </c>
      <c r="AP400" s="1"/>
      <c r="AQ400" s="1">
        <v>43262.25</v>
      </c>
      <c r="AR400" s="1">
        <v>43314.25</v>
      </c>
      <c r="AS400" s="1"/>
      <c r="AT400" s="1"/>
      <c r="AU400" s="1"/>
      <c r="AV400" s="1">
        <v>43312.25</v>
      </c>
      <c r="AW400" s="1"/>
      <c r="AX400" s="1"/>
      <c r="AY400" s="1"/>
      <c r="AZ400" s="1">
        <v>43313.25</v>
      </c>
      <c r="BA400" s="1"/>
      <c r="BB400" s="1"/>
      <c r="BC400" s="1"/>
      <c r="BD400" s="1"/>
      <c r="BE400" s="1"/>
      <c r="BF400" s="1"/>
      <c r="BG400" s="1"/>
      <c r="BH400" s="1"/>
      <c r="BI400" s="1"/>
      <c r="BJ400" s="1"/>
      <c r="BK400" s="1"/>
      <c r="BL400" s="1"/>
      <c r="BM400" s="1">
        <v>43314.25</v>
      </c>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row>
    <row r="401" spans="1:216" x14ac:dyDescent="0.3">
      <c r="A401" s="3" t="str">
        <f>HYPERLINK("https://hpr-rps.hres.ca/reg-content/summary-basis-decision-detailTwo.php?lang=en&amp;linkID=SBD00412", "Aimovig")</f>
        <v>Aimovig</v>
      </c>
      <c r="B401" s="1" t="s">
        <v>1050</v>
      </c>
      <c r="C401" s="1" t="s">
        <v>87</v>
      </c>
      <c r="D401" s="1" t="s">
        <v>1051</v>
      </c>
      <c r="E401" s="1">
        <v>42824.25</v>
      </c>
      <c r="F401" s="1"/>
      <c r="G401" s="1"/>
      <c r="H401" s="1">
        <v>42965.25</v>
      </c>
      <c r="I401" s="1"/>
      <c r="J401" s="1"/>
      <c r="K401" s="1"/>
      <c r="L401" s="1"/>
      <c r="M401" s="1"/>
      <c r="N401" s="1"/>
      <c r="O401" s="1"/>
      <c r="P401" s="1"/>
      <c r="Q401" s="1"/>
      <c r="R401" s="1"/>
      <c r="S401" s="1"/>
      <c r="T401" s="1"/>
      <c r="U401" s="1"/>
      <c r="V401" s="1"/>
      <c r="W401" s="1"/>
      <c r="X401" s="1"/>
      <c r="Y401" s="1"/>
      <c r="Z401" s="1"/>
      <c r="AA401" s="1"/>
      <c r="AB401" s="1"/>
      <c r="AC401" s="1"/>
      <c r="AD401" s="1"/>
      <c r="AE401" s="1"/>
      <c r="AF401" s="1">
        <v>43014.25</v>
      </c>
      <c r="AG401" s="1"/>
      <c r="AH401" s="1"/>
      <c r="AI401" s="1"/>
      <c r="AJ401" s="1"/>
      <c r="AK401" s="1"/>
      <c r="AL401" s="1"/>
      <c r="AM401" s="1"/>
      <c r="AN401" s="1"/>
      <c r="AO401" s="1"/>
      <c r="AP401" s="1"/>
      <c r="AQ401" s="1">
        <v>43231.25</v>
      </c>
      <c r="AR401" s="1">
        <v>43312.25</v>
      </c>
      <c r="AS401" s="1"/>
      <c r="AT401" s="1"/>
      <c r="AU401" s="1"/>
      <c r="AV401" s="1">
        <v>43313.25</v>
      </c>
      <c r="AW401" s="1"/>
      <c r="AX401" s="1">
        <v>43307.25</v>
      </c>
      <c r="AY401" s="1"/>
      <c r="AZ401" s="1">
        <v>43307.25</v>
      </c>
      <c r="BA401" s="1"/>
      <c r="BB401" s="1"/>
      <c r="BC401" s="1"/>
      <c r="BD401" s="1"/>
      <c r="BE401" s="1"/>
      <c r="BF401" s="1"/>
      <c r="BG401" s="1"/>
      <c r="BH401" s="1"/>
      <c r="BI401" s="1"/>
      <c r="BJ401" s="1"/>
      <c r="BK401" s="1"/>
      <c r="BL401" s="1"/>
      <c r="BM401" s="1">
        <v>43313.25</v>
      </c>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row>
    <row r="402" spans="1:216" x14ac:dyDescent="0.3">
      <c r="A402" s="3" t="str">
        <f>HYPERLINK("https://hpr-rps.hres.ca/reg-content/summary-basis-decision-detailTwo.php?lang=en&amp;linkID=SBD00413", "Xydalba")</f>
        <v>Xydalba</v>
      </c>
      <c r="B402" s="1" t="s">
        <v>1052</v>
      </c>
      <c r="C402" s="1" t="s">
        <v>1053</v>
      </c>
      <c r="D402" s="1" t="s">
        <v>1054</v>
      </c>
      <c r="E402" s="1"/>
      <c r="F402" s="1"/>
      <c r="G402" s="1"/>
      <c r="H402" s="1"/>
      <c r="I402" s="1"/>
      <c r="J402" s="1"/>
      <c r="K402" s="1"/>
      <c r="L402" s="1"/>
      <c r="M402" s="1"/>
      <c r="N402" s="1">
        <v>43021.25</v>
      </c>
      <c r="O402" s="1"/>
      <c r="P402" s="1"/>
      <c r="Q402" s="1"/>
      <c r="R402" s="1"/>
      <c r="S402" s="1">
        <v>43054.25</v>
      </c>
      <c r="T402" s="1"/>
      <c r="U402" s="1"/>
      <c r="V402" s="1">
        <v>43090.25</v>
      </c>
      <c r="W402" s="1"/>
      <c r="X402" s="1"/>
      <c r="Y402" s="1"/>
      <c r="Z402" s="1">
        <v>43115.25</v>
      </c>
      <c r="AA402" s="1"/>
      <c r="AB402" s="1"/>
      <c r="AC402" s="1">
        <v>43158.25</v>
      </c>
      <c r="AD402" s="1"/>
      <c r="AE402" s="1"/>
      <c r="AF402" s="1">
        <v>43167.25</v>
      </c>
      <c r="AG402" s="1"/>
      <c r="AH402" s="1"/>
      <c r="AI402" s="1"/>
      <c r="AJ402" s="1"/>
      <c r="AK402" s="1"/>
      <c r="AL402" s="1"/>
      <c r="AM402" s="1"/>
      <c r="AN402" s="1"/>
      <c r="AO402" s="1"/>
      <c r="AP402" s="1"/>
      <c r="AQ402" s="1">
        <v>43314.25</v>
      </c>
      <c r="AR402" s="1">
        <v>43343.25</v>
      </c>
      <c r="AS402" s="1"/>
      <c r="AT402" s="1"/>
      <c r="AU402" s="1"/>
      <c r="AV402" s="1">
        <v>43343.25</v>
      </c>
      <c r="AW402" s="1"/>
      <c r="AX402" s="1"/>
      <c r="AY402" s="1"/>
      <c r="AZ402" s="1">
        <v>43343.25</v>
      </c>
      <c r="BA402" s="1"/>
      <c r="BB402" s="1"/>
      <c r="BC402" s="1"/>
      <c r="BD402" s="1"/>
      <c r="BE402" s="1"/>
      <c r="BF402" s="1"/>
      <c r="BG402" s="1"/>
      <c r="BH402" s="1"/>
      <c r="BI402" s="1"/>
      <c r="BJ402" s="1"/>
      <c r="BK402" s="1"/>
      <c r="BL402" s="1"/>
      <c r="BM402" s="1">
        <v>43347.25</v>
      </c>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row>
    <row r="403" spans="1:216" x14ac:dyDescent="0.3">
      <c r="A403" s="3" t="str">
        <f>HYPERLINK("https://hpr-rps.hres.ca/reg-content/summary-basis-decision-detailTwo.php?lang=en&amp;linkID=SBD00414", "Xermelo")</f>
        <v>Xermelo</v>
      </c>
      <c r="B403" s="1" t="s">
        <v>1055</v>
      </c>
      <c r="C403" s="1" t="s">
        <v>1056</v>
      </c>
      <c r="D403" s="1" t="s">
        <v>1057</v>
      </c>
      <c r="E403" s="1">
        <v>42024.25</v>
      </c>
      <c r="F403" s="1"/>
      <c r="G403" s="1"/>
      <c r="H403" s="1">
        <v>43040.208333333343</v>
      </c>
      <c r="I403" s="1"/>
      <c r="J403" s="1"/>
      <c r="K403" s="1"/>
      <c r="L403" s="1"/>
      <c r="M403" s="1"/>
      <c r="N403" s="1"/>
      <c r="O403" s="1"/>
      <c r="P403" s="1"/>
      <c r="Q403" s="1"/>
      <c r="R403" s="1"/>
      <c r="S403" s="1"/>
      <c r="T403" s="1"/>
      <c r="U403" s="1"/>
      <c r="V403" s="1"/>
      <c r="W403" s="1"/>
      <c r="X403" s="1"/>
      <c r="Y403" s="1"/>
      <c r="Z403" s="1"/>
      <c r="AA403" s="1"/>
      <c r="AB403" s="1"/>
      <c r="AC403" s="1"/>
      <c r="AD403" s="1"/>
      <c r="AE403" s="1"/>
      <c r="AF403" s="1">
        <v>43084.25</v>
      </c>
      <c r="AG403" s="1"/>
      <c r="AH403" s="1"/>
      <c r="AI403" s="1"/>
      <c r="AJ403" s="1"/>
      <c r="AK403" s="1"/>
      <c r="AL403" s="1"/>
      <c r="AM403" s="1"/>
      <c r="AN403" s="1"/>
      <c r="AO403" s="1"/>
      <c r="AP403" s="1"/>
      <c r="AQ403" s="1">
        <v>43336.25</v>
      </c>
      <c r="AR403" s="1">
        <v>43383.25</v>
      </c>
      <c r="AS403" s="1">
        <v>43307.25</v>
      </c>
      <c r="AT403" s="1"/>
      <c r="AU403" s="1"/>
      <c r="AV403" s="1">
        <v>43382.25</v>
      </c>
      <c r="AW403" s="1"/>
      <c r="AX403" s="1"/>
      <c r="AY403" s="1"/>
      <c r="AZ403" s="1">
        <v>43382.25</v>
      </c>
      <c r="BA403" s="1"/>
      <c r="BB403" s="1"/>
      <c r="BC403" s="1"/>
      <c r="BD403" s="1"/>
      <c r="BE403" s="1"/>
      <c r="BF403" s="1"/>
      <c r="BG403" s="1"/>
      <c r="BH403" s="1"/>
      <c r="BI403" s="1"/>
      <c r="BJ403" s="1"/>
      <c r="BK403" s="1"/>
      <c r="BL403" s="1"/>
      <c r="BM403" s="1">
        <v>43385.25</v>
      </c>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row>
    <row r="404" spans="1:216" x14ac:dyDescent="0.3">
      <c r="A404" s="3" t="str">
        <f>HYPERLINK("https://hpr-rps.hres.ca/reg-content/summary-basis-decision-detailTwo.php?lang=en&amp;linkID=SBD00415", "Alunbrig")</f>
        <v>Alunbrig</v>
      </c>
      <c r="B404" s="1" t="s">
        <v>1058</v>
      </c>
      <c r="C404" s="1" t="s">
        <v>872</v>
      </c>
      <c r="D404" s="1" t="s">
        <v>1059</v>
      </c>
      <c r="E404" s="1">
        <v>42934.25</v>
      </c>
      <c r="F404" s="1"/>
      <c r="G404" s="1"/>
      <c r="H404" s="1"/>
      <c r="I404" s="1"/>
      <c r="J404" s="1"/>
      <c r="K404" s="1"/>
      <c r="L404" s="1"/>
      <c r="M404" s="1"/>
      <c r="N404" s="1">
        <v>42850.25</v>
      </c>
      <c r="O404" s="1">
        <v>43024.25</v>
      </c>
      <c r="P404" s="1"/>
      <c r="Q404" s="1"/>
      <c r="R404" s="1"/>
      <c r="S404" s="1"/>
      <c r="T404" s="1"/>
      <c r="U404" s="1"/>
      <c r="V404" s="1">
        <v>43025.25</v>
      </c>
      <c r="W404" s="1"/>
      <c r="X404" s="1"/>
      <c r="Y404" s="1"/>
      <c r="Z404" s="1"/>
      <c r="AA404" s="1"/>
      <c r="AB404" s="1"/>
      <c r="AC404" s="1"/>
      <c r="AD404" s="1"/>
      <c r="AE404" s="1"/>
      <c r="AF404" s="1">
        <v>43056.25</v>
      </c>
      <c r="AG404" s="1"/>
      <c r="AH404" s="1"/>
      <c r="AI404" s="1"/>
      <c r="AJ404" s="1"/>
      <c r="AK404" s="1"/>
      <c r="AL404" s="1"/>
      <c r="AM404" s="1"/>
      <c r="AN404" s="1"/>
      <c r="AO404" s="1"/>
      <c r="AP404" s="1"/>
      <c r="AQ404" s="1">
        <v>43222.25</v>
      </c>
      <c r="AR404" s="1">
        <v>43280.25</v>
      </c>
      <c r="AS404" s="1"/>
      <c r="AT404" s="1"/>
      <c r="AU404" s="1"/>
      <c r="AV404" s="1">
        <v>43287.25</v>
      </c>
      <c r="AW404" s="1"/>
      <c r="AX404" s="1"/>
      <c r="AY404" s="1"/>
      <c r="AZ404" s="1">
        <v>43292.25</v>
      </c>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v>43301.25</v>
      </c>
      <c r="CV404" s="1"/>
      <c r="CW404" s="1"/>
      <c r="CX404" s="1"/>
      <c r="CY404" s="1"/>
      <c r="CZ404" s="1"/>
      <c r="DA404" s="1"/>
      <c r="DB404" s="1"/>
      <c r="DC404" s="1"/>
      <c r="DD404" s="1"/>
      <c r="DE404" s="1"/>
      <c r="DF404" s="1"/>
      <c r="DG404" s="1">
        <v>43307.25</v>
      </c>
      <c r="DH404" s="1"/>
      <c r="DI404" s="1"/>
      <c r="DJ404" s="1"/>
      <c r="DK404" s="1"/>
      <c r="DL404" s="1"/>
      <c r="DM404" s="1"/>
      <c r="DN404" s="1"/>
      <c r="DO404" s="1"/>
      <c r="DP404" s="1"/>
      <c r="DQ404" s="1"/>
      <c r="DR404" s="1"/>
      <c r="DS404" s="1"/>
      <c r="DT404" s="1">
        <v>43298.25</v>
      </c>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row>
    <row r="405" spans="1:216" x14ac:dyDescent="0.3">
      <c r="A405" s="3" t="str">
        <f>HYPERLINK("https://hpr-rps.hres.ca/reg-content/summary-basis-decision-detailTwo.php?lang=en&amp;linkID=SBD00416", "Kymriah")</f>
        <v>Kymriah</v>
      </c>
      <c r="B405" s="1" t="s">
        <v>1060</v>
      </c>
      <c r="C405" s="1" t="s">
        <v>87</v>
      </c>
      <c r="D405" s="1" t="s">
        <v>1061</v>
      </c>
      <c r="E405" s="1">
        <v>43034.25</v>
      </c>
      <c r="F405" s="1"/>
      <c r="G405" s="1"/>
      <c r="H405" s="1"/>
      <c r="I405" s="1"/>
      <c r="J405" s="1"/>
      <c r="K405" s="1"/>
      <c r="L405" s="1"/>
      <c r="M405" s="1"/>
      <c r="N405" s="1">
        <v>43070.25</v>
      </c>
      <c r="O405" s="1"/>
      <c r="P405" s="1"/>
      <c r="Q405" s="1"/>
      <c r="R405" s="1"/>
      <c r="S405" s="1">
        <v>43102.25</v>
      </c>
      <c r="T405" s="1"/>
      <c r="U405" s="1"/>
      <c r="V405" s="1">
        <v>43140.25</v>
      </c>
      <c r="W405" s="1"/>
      <c r="X405" s="1"/>
      <c r="Y405" s="1"/>
      <c r="Z405" s="1"/>
      <c r="AA405" s="1"/>
      <c r="AB405" s="1"/>
      <c r="AC405" s="1"/>
      <c r="AD405" s="1"/>
      <c r="AE405" s="1"/>
      <c r="AF405" s="1">
        <v>43168.25</v>
      </c>
      <c r="AG405" s="1"/>
      <c r="AH405" s="1"/>
      <c r="AI405" s="1"/>
      <c r="AJ405" s="1"/>
      <c r="AK405" s="1"/>
      <c r="AL405" s="1"/>
      <c r="AM405" s="1"/>
      <c r="AN405" s="1"/>
      <c r="AO405" s="1">
        <v>43262.25</v>
      </c>
      <c r="AP405" s="1"/>
      <c r="AQ405" s="1">
        <v>43284.25</v>
      </c>
      <c r="AR405" s="1">
        <v>43341.25</v>
      </c>
      <c r="AS405" s="1"/>
      <c r="AT405" s="1"/>
      <c r="AU405" s="1"/>
      <c r="AV405" s="1">
        <v>43342.25</v>
      </c>
      <c r="AW405" s="1"/>
      <c r="AX405" s="1"/>
      <c r="AY405" s="1"/>
      <c r="AZ405" s="1">
        <v>43334.25</v>
      </c>
      <c r="BA405" s="1"/>
      <c r="BB405" s="1"/>
      <c r="BC405" s="1"/>
      <c r="BD405" s="1"/>
      <c r="BE405" s="1"/>
      <c r="BF405" s="1"/>
      <c r="BG405" s="1"/>
      <c r="BH405" s="1"/>
      <c r="BI405" s="1"/>
      <c r="BJ405" s="1"/>
      <c r="BK405" s="1"/>
      <c r="BL405" s="1"/>
      <c r="BM405" s="1">
        <v>43348.25</v>
      </c>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row>
    <row r="406" spans="1:216" x14ac:dyDescent="0.3">
      <c r="A406" s="3" t="str">
        <f>HYPERLINK("https://hpr-rps.hres.ca/reg-content/summary-basis-decision-detailTwo.php?lang=en&amp;linkID=SBD00417", "Radicava")</f>
        <v>Radicava</v>
      </c>
      <c r="B406" s="1" t="s">
        <v>1062</v>
      </c>
      <c r="C406" s="1" t="s">
        <v>1063</v>
      </c>
      <c r="D406" s="1" t="s">
        <v>1064</v>
      </c>
      <c r="E406" s="1">
        <v>42985.25</v>
      </c>
      <c r="F406" s="1"/>
      <c r="G406" s="1"/>
      <c r="H406" s="1"/>
      <c r="I406" s="1"/>
      <c r="J406" s="1"/>
      <c r="K406" s="1"/>
      <c r="L406" s="1"/>
      <c r="M406" s="1"/>
      <c r="N406" s="1">
        <v>42963.25</v>
      </c>
      <c r="O406" s="1"/>
      <c r="P406" s="1"/>
      <c r="Q406" s="1"/>
      <c r="R406" s="1"/>
      <c r="S406" s="1">
        <v>43140.25</v>
      </c>
      <c r="T406" s="1"/>
      <c r="U406" s="1"/>
      <c r="V406" s="1">
        <v>43168.25</v>
      </c>
      <c r="W406" s="1"/>
      <c r="X406" s="1"/>
      <c r="Y406" s="1"/>
      <c r="Z406" s="1"/>
      <c r="AA406" s="1"/>
      <c r="AB406" s="1"/>
      <c r="AC406" s="1"/>
      <c r="AD406" s="1"/>
      <c r="AE406" s="1"/>
      <c r="AF406" s="1">
        <v>43196.25</v>
      </c>
      <c r="AG406" s="1"/>
      <c r="AH406" s="1"/>
      <c r="AI406" s="1"/>
      <c r="AJ406" s="1"/>
      <c r="AK406" s="1"/>
      <c r="AL406" s="1"/>
      <c r="AM406" s="1"/>
      <c r="AN406" s="1"/>
      <c r="AO406" s="1"/>
      <c r="AP406" s="1"/>
      <c r="AQ406" s="1">
        <v>43361.25</v>
      </c>
      <c r="AR406" s="1">
        <v>43371.25</v>
      </c>
      <c r="AS406" s="1"/>
      <c r="AT406" s="1"/>
      <c r="AU406" s="1">
        <v>43374.25</v>
      </c>
      <c r="AV406" s="1">
        <v>43370.25</v>
      </c>
      <c r="AW406" s="1"/>
      <c r="AX406" s="1"/>
      <c r="AY406" s="1"/>
      <c r="AZ406" s="1">
        <v>43357.25</v>
      </c>
      <c r="BA406" s="1"/>
      <c r="BB406" s="1"/>
      <c r="BC406" s="1"/>
      <c r="BD406" s="1"/>
      <c r="BE406" s="1"/>
      <c r="BF406" s="1"/>
      <c r="BG406" s="1"/>
      <c r="BH406" s="1"/>
      <c r="BI406" s="1"/>
      <c r="BJ406" s="1"/>
      <c r="BK406" s="1"/>
      <c r="BL406" s="1"/>
      <c r="BM406" s="1">
        <v>43376.25</v>
      </c>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row>
    <row r="407" spans="1:216" x14ac:dyDescent="0.3">
      <c r="A407" s="3" t="str">
        <f>HYPERLINK("https://hpr-rps.hres.ca/reg-content/summary-basis-decision-detailTwo.php?lang=en&amp;linkID=SBD00418", "Veltassa")</f>
        <v>Veltassa</v>
      </c>
      <c r="B407" s="1" t="s">
        <v>1065</v>
      </c>
      <c r="C407" s="1" t="s">
        <v>978</v>
      </c>
      <c r="D407" s="1" t="s">
        <v>1066</v>
      </c>
      <c r="E407" s="1">
        <v>42969.25</v>
      </c>
      <c r="F407" s="1"/>
      <c r="G407" s="1"/>
      <c r="H407" s="1">
        <v>43028.25</v>
      </c>
      <c r="I407" s="1"/>
      <c r="J407" s="1"/>
      <c r="K407" s="1"/>
      <c r="L407" s="1"/>
      <c r="M407" s="1"/>
      <c r="N407" s="1"/>
      <c r="O407" s="1"/>
      <c r="P407" s="1"/>
      <c r="Q407" s="1"/>
      <c r="R407" s="1"/>
      <c r="S407" s="1"/>
      <c r="T407" s="1"/>
      <c r="U407" s="1"/>
      <c r="V407" s="1"/>
      <c r="W407" s="1"/>
      <c r="X407" s="1"/>
      <c r="Y407" s="1"/>
      <c r="Z407" s="1"/>
      <c r="AA407" s="1"/>
      <c r="AB407" s="1"/>
      <c r="AC407" s="1"/>
      <c r="AD407" s="1"/>
      <c r="AE407" s="1"/>
      <c r="AF407" s="1">
        <v>43076.25</v>
      </c>
      <c r="AG407" s="1"/>
      <c r="AH407" s="1"/>
      <c r="AI407" s="1"/>
      <c r="AJ407" s="1"/>
      <c r="AK407" s="1"/>
      <c r="AL407" s="1"/>
      <c r="AM407" s="1"/>
      <c r="AN407" s="1"/>
      <c r="AO407" s="1"/>
      <c r="AP407" s="1"/>
      <c r="AQ407" s="1">
        <v>43370.25</v>
      </c>
      <c r="AR407" s="1">
        <v>43374.25</v>
      </c>
      <c r="AS407" s="1"/>
      <c r="AT407" s="1"/>
      <c r="AU407" s="1"/>
      <c r="AV407" s="1">
        <v>43374.25</v>
      </c>
      <c r="AW407" s="1"/>
      <c r="AX407" s="1"/>
      <c r="AY407" s="1"/>
      <c r="AZ407" s="1">
        <v>43375.25</v>
      </c>
      <c r="BA407" s="1"/>
      <c r="BB407" s="1"/>
      <c r="BC407" s="1"/>
      <c r="BD407" s="1"/>
      <c r="BE407" s="1"/>
      <c r="BF407" s="1"/>
      <c r="BG407" s="1"/>
      <c r="BH407" s="1"/>
      <c r="BI407" s="1"/>
      <c r="BJ407" s="1"/>
      <c r="BK407" s="1"/>
      <c r="BL407" s="1"/>
      <c r="BM407" s="1">
        <v>43376.25</v>
      </c>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row>
    <row r="408" spans="1:216" x14ac:dyDescent="0.3">
      <c r="A408" s="3" t="str">
        <f>HYPERLINK("https://hpr-rps.hres.ca/reg-content/summary-basis-decision-detailTwo.php?lang=en&amp;linkID=SBD00419", "Cabometyx")</f>
        <v>Cabometyx</v>
      </c>
      <c r="B408" s="1" t="s">
        <v>1067</v>
      </c>
      <c r="C408" s="1" t="s">
        <v>1056</v>
      </c>
      <c r="D408" s="1" t="s">
        <v>1068</v>
      </c>
      <c r="E408" s="1">
        <v>42823.25</v>
      </c>
      <c r="F408" s="1"/>
      <c r="G408" s="1"/>
      <c r="H408" s="1"/>
      <c r="I408" s="1"/>
      <c r="J408" s="1"/>
      <c r="K408" s="1"/>
      <c r="L408" s="1"/>
      <c r="M408" s="1"/>
      <c r="N408" s="1">
        <v>42853.25</v>
      </c>
      <c r="O408" s="1"/>
      <c r="P408" s="1"/>
      <c r="Q408" s="1"/>
      <c r="R408" s="1"/>
      <c r="S408" s="1">
        <v>42881.25</v>
      </c>
      <c r="T408" s="1"/>
      <c r="U408" s="1"/>
      <c r="V408" s="1">
        <v>42891.25</v>
      </c>
      <c r="W408" s="1"/>
      <c r="X408" s="1"/>
      <c r="Y408" s="1"/>
      <c r="Z408" s="1">
        <v>42916.25</v>
      </c>
      <c r="AA408" s="1"/>
      <c r="AB408" s="1"/>
      <c r="AC408" s="1">
        <v>42922.25</v>
      </c>
      <c r="AD408" s="1"/>
      <c r="AE408" s="1"/>
      <c r="AF408" s="1">
        <v>42942.25</v>
      </c>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v>43069.25</v>
      </c>
      <c r="BQ408" s="1"/>
      <c r="BR408" s="1"/>
      <c r="BS408" s="1"/>
      <c r="BT408" s="1"/>
      <c r="BU408" s="1"/>
      <c r="BV408" s="1"/>
      <c r="BW408" s="1"/>
      <c r="BX408" s="1"/>
      <c r="BY408" s="1">
        <v>43158.25</v>
      </c>
      <c r="BZ408" s="1"/>
      <c r="CA408" s="1"/>
      <c r="CB408" s="1"/>
      <c r="CC408" s="1"/>
      <c r="CD408" s="1"/>
      <c r="CE408" s="1"/>
      <c r="CF408" s="1"/>
      <c r="CG408" s="1"/>
      <c r="CH408" s="1"/>
      <c r="CI408" s="1"/>
      <c r="CJ408" s="1"/>
      <c r="CK408" s="1"/>
      <c r="CL408" s="1"/>
      <c r="CM408" s="1"/>
      <c r="CN408" s="1"/>
      <c r="CO408" s="1"/>
      <c r="CP408" s="1"/>
      <c r="CQ408" s="1"/>
      <c r="CR408" s="1">
        <v>43175.208333333343</v>
      </c>
      <c r="CS408" s="1"/>
      <c r="CT408" s="1"/>
      <c r="CU408" s="1"/>
      <c r="CV408" s="1"/>
      <c r="CW408" s="1"/>
      <c r="CX408" s="1"/>
      <c r="CY408" s="1"/>
      <c r="CZ408" s="1"/>
      <c r="DA408" s="1"/>
      <c r="DB408" s="1"/>
      <c r="DC408" s="1">
        <v>43089.25</v>
      </c>
      <c r="DD408" s="1">
        <v>43328.25</v>
      </c>
      <c r="DE408" s="1"/>
      <c r="DF408" s="1"/>
      <c r="DG408" s="1"/>
      <c r="DH408" s="1">
        <v>43355.25</v>
      </c>
      <c r="DI408" s="1"/>
      <c r="DJ408" s="1">
        <v>43062.25</v>
      </c>
      <c r="DK408" s="1"/>
      <c r="DL408" s="1">
        <v>43355.25</v>
      </c>
      <c r="DM408" s="1"/>
      <c r="DN408" s="1"/>
      <c r="DO408" s="1"/>
      <c r="DP408" s="1"/>
      <c r="DQ408" s="1"/>
      <c r="DR408" s="1"/>
      <c r="DS408" s="1"/>
      <c r="DT408" s="1"/>
      <c r="DU408" s="1"/>
      <c r="DV408" s="1"/>
      <c r="DW408" s="1"/>
      <c r="DX408" s="1"/>
      <c r="DY408" s="1">
        <v>43357.25</v>
      </c>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row>
    <row r="409" spans="1:216" x14ac:dyDescent="0.3">
      <c r="A409" s="3" t="str">
        <f>HYPERLINK("https://hpr-rps.hres.ca/reg-content/summary-basis-decision-detailTwo.php?lang=en&amp;linkID=SBD00420", "Takhzyro")</f>
        <v>Takhzyro</v>
      </c>
      <c r="B409" s="1" t="s">
        <v>1069</v>
      </c>
      <c r="C409" s="1" t="s">
        <v>988</v>
      </c>
      <c r="D409" s="1" t="s">
        <v>1070</v>
      </c>
      <c r="E409" s="1">
        <v>43011.25</v>
      </c>
      <c r="F409" s="1"/>
      <c r="G409" s="1"/>
      <c r="H409" s="1"/>
      <c r="I409" s="1"/>
      <c r="J409" s="1"/>
      <c r="K409" s="1"/>
      <c r="L409" s="1"/>
      <c r="M409" s="1"/>
      <c r="N409" s="1">
        <v>43110.25</v>
      </c>
      <c r="O409" s="1"/>
      <c r="P409" s="1"/>
      <c r="Q409" s="1"/>
      <c r="R409" s="1"/>
      <c r="S409" s="1">
        <v>43137.25</v>
      </c>
      <c r="T409" s="1"/>
      <c r="U409" s="1"/>
      <c r="V409" s="1">
        <v>43153.25</v>
      </c>
      <c r="W409" s="1"/>
      <c r="X409" s="1"/>
      <c r="Y409" s="1"/>
      <c r="Z409" s="1"/>
      <c r="AA409" s="1"/>
      <c r="AB409" s="1"/>
      <c r="AC409" s="1"/>
      <c r="AD409" s="1"/>
      <c r="AE409" s="1"/>
      <c r="AF409" s="1">
        <v>43182.208333333343</v>
      </c>
      <c r="AG409" s="1"/>
      <c r="AH409" s="1"/>
      <c r="AI409" s="1"/>
      <c r="AJ409" s="1"/>
      <c r="AK409" s="1"/>
      <c r="AL409" s="1"/>
      <c r="AM409" s="1"/>
      <c r="AN409" s="1"/>
      <c r="AO409" s="1">
        <v>43353.25</v>
      </c>
      <c r="AP409" s="1"/>
      <c r="AQ409" s="1">
        <v>43342.25</v>
      </c>
      <c r="AR409" s="1">
        <v>43357.25</v>
      </c>
      <c r="AS409" s="1"/>
      <c r="AT409" s="1"/>
      <c r="AU409" s="1"/>
      <c r="AV409" s="1">
        <v>43349.25</v>
      </c>
      <c r="AW409" s="1"/>
      <c r="AX409" s="1"/>
      <c r="AY409" s="1"/>
      <c r="AZ409" s="1">
        <v>43360.25</v>
      </c>
      <c r="BA409" s="1"/>
      <c r="BB409" s="1"/>
      <c r="BC409" s="1"/>
      <c r="BD409" s="1"/>
      <c r="BE409" s="1"/>
      <c r="BF409" s="1"/>
      <c r="BG409" s="1"/>
      <c r="BH409" s="1"/>
      <c r="BI409" s="1"/>
      <c r="BJ409" s="1"/>
      <c r="BK409" s="1"/>
      <c r="BL409" s="1"/>
      <c r="BM409" s="1">
        <v>43362.25</v>
      </c>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row>
    <row r="410" spans="1:216" x14ac:dyDescent="0.3">
      <c r="A410" s="3" t="str">
        <f>HYPERLINK("https://hpr-rps.hres.ca/reg-content/summary-basis-decision-detailTwo.php?lang=en&amp;linkID=SBD00421", "Pifeltro")</f>
        <v>Pifeltro</v>
      </c>
      <c r="B410" s="1" t="s">
        <v>1071</v>
      </c>
      <c r="C410" s="1" t="s">
        <v>415</v>
      </c>
      <c r="D410" s="1" t="s">
        <v>1072</v>
      </c>
      <c r="E410" s="1">
        <v>42949.25</v>
      </c>
      <c r="F410" s="1"/>
      <c r="G410" s="1"/>
      <c r="H410" s="1"/>
      <c r="I410" s="1"/>
      <c r="J410" s="1"/>
      <c r="K410" s="1"/>
      <c r="L410" s="1"/>
      <c r="M410" s="1"/>
      <c r="N410" s="1"/>
      <c r="O410" s="1"/>
      <c r="P410" s="1"/>
      <c r="Q410" s="1"/>
      <c r="R410" s="1"/>
      <c r="S410" s="1"/>
      <c r="T410" s="1"/>
      <c r="U410" s="1"/>
      <c r="V410" s="1"/>
      <c r="W410" s="1"/>
      <c r="X410" s="1"/>
      <c r="Y410" s="1"/>
      <c r="Z410" s="1">
        <v>43074.25</v>
      </c>
      <c r="AA410" s="1"/>
      <c r="AB410" s="1"/>
      <c r="AC410" s="1">
        <v>43077.25</v>
      </c>
      <c r="AD410" s="1"/>
      <c r="AE410" s="1"/>
      <c r="AF410" s="1">
        <v>43084.25</v>
      </c>
      <c r="AG410" s="1"/>
      <c r="AH410" s="1"/>
      <c r="AI410" s="1"/>
      <c r="AJ410" s="1"/>
      <c r="AK410" s="1"/>
      <c r="AL410" s="1"/>
      <c r="AM410" s="1"/>
      <c r="AN410" s="1"/>
      <c r="AO410" s="1"/>
      <c r="AP410" s="1"/>
      <c r="AQ410" s="1">
        <v>43271.25</v>
      </c>
      <c r="AR410" s="1">
        <v>43383.25</v>
      </c>
      <c r="AS410" s="1"/>
      <c r="AT410" s="1"/>
      <c r="AU410" s="1"/>
      <c r="AV410" s="1">
        <v>43383.25</v>
      </c>
      <c r="AW410" s="1"/>
      <c r="AX410" s="1"/>
      <c r="AY410" s="1"/>
      <c r="AZ410" s="1">
        <v>43383.25</v>
      </c>
      <c r="BA410" s="1"/>
      <c r="BB410" s="1"/>
      <c r="BC410" s="1"/>
      <c r="BD410" s="1"/>
      <c r="BE410" s="1"/>
      <c r="BF410" s="1"/>
      <c r="BG410" s="1"/>
      <c r="BH410" s="1"/>
      <c r="BI410" s="1"/>
      <c r="BJ410" s="1"/>
      <c r="BK410" s="1"/>
      <c r="BL410" s="1"/>
      <c r="BM410" s="1">
        <v>43385.25</v>
      </c>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row>
    <row r="411" spans="1:216" x14ac:dyDescent="0.3">
      <c r="A411" s="3" t="str">
        <f>HYPERLINK("https://hpr-rps.hres.ca/reg-content/summary-basis-decision-detailTwo.php?lang=en&amp;linkID=SBD00422", "Tegsedi")</f>
        <v>Tegsedi</v>
      </c>
      <c r="B411" s="1" t="s">
        <v>1073</v>
      </c>
      <c r="C411" s="1" t="s">
        <v>1074</v>
      </c>
      <c r="D411" s="1" t="s">
        <v>1075</v>
      </c>
      <c r="E411" s="1">
        <v>43145.25</v>
      </c>
      <c r="F411" s="1"/>
      <c r="G411" s="1"/>
      <c r="H411" s="1"/>
      <c r="I411" s="1"/>
      <c r="J411" s="1"/>
      <c r="K411" s="1"/>
      <c r="L411" s="1"/>
      <c r="M411" s="1"/>
      <c r="N411" s="1">
        <v>43119.25</v>
      </c>
      <c r="O411" s="1"/>
      <c r="P411" s="1"/>
      <c r="Q411" s="1"/>
      <c r="R411" s="1"/>
      <c r="S411" s="1">
        <v>43152.25</v>
      </c>
      <c r="T411" s="1"/>
      <c r="U411" s="1"/>
      <c r="V411" s="1">
        <v>43166.25</v>
      </c>
      <c r="W411" s="1"/>
      <c r="X411" s="1"/>
      <c r="Y411" s="1"/>
      <c r="Z411" s="1"/>
      <c r="AA411" s="1"/>
      <c r="AB411" s="1"/>
      <c r="AC411" s="1"/>
      <c r="AD411" s="1"/>
      <c r="AE411" s="1"/>
      <c r="AF411" s="1">
        <v>43196.25</v>
      </c>
      <c r="AG411" s="1"/>
      <c r="AH411" s="1"/>
      <c r="AI411" s="1"/>
      <c r="AJ411" s="1"/>
      <c r="AK411" s="1"/>
      <c r="AL411" s="1"/>
      <c r="AM411" s="1"/>
      <c r="AN411" s="1"/>
      <c r="AO411" s="1"/>
      <c r="AP411" s="1"/>
      <c r="AQ411" s="1">
        <v>43364.25</v>
      </c>
      <c r="AR411" s="1">
        <v>43375.25</v>
      </c>
      <c r="AS411" s="1"/>
      <c r="AT411" s="1"/>
      <c r="AU411" s="1"/>
      <c r="AV411" s="1">
        <v>43375.25</v>
      </c>
      <c r="AW411" s="1"/>
      <c r="AX411" s="1">
        <v>43376.25</v>
      </c>
      <c r="AY411" s="1"/>
      <c r="AZ411" s="1">
        <v>43375.25</v>
      </c>
      <c r="BA411" s="1"/>
      <c r="BB411" s="1"/>
      <c r="BC411" s="1"/>
      <c r="BD411" s="1"/>
      <c r="BE411" s="1"/>
      <c r="BF411" s="1"/>
      <c r="BG411" s="1"/>
      <c r="BH411" s="1"/>
      <c r="BI411" s="1"/>
      <c r="BJ411" s="1"/>
      <c r="BK411" s="1"/>
      <c r="BL411" s="1"/>
      <c r="BM411" s="1">
        <v>43376.25</v>
      </c>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row>
    <row r="412" spans="1:216" x14ac:dyDescent="0.3">
      <c r="A412" s="3" t="str">
        <f>HYPERLINK("https://hpr-rps.hres.ca/reg-content/summary-basis-decision-detailTwo.php?lang=en&amp;linkID=SBD00423", "Jivi")</f>
        <v>Jivi</v>
      </c>
      <c r="B412" s="1" t="s">
        <v>1076</v>
      </c>
      <c r="C412" s="1" t="s">
        <v>338</v>
      </c>
      <c r="D412" s="1" t="s">
        <v>1077</v>
      </c>
      <c r="E412" s="1">
        <v>42957.25</v>
      </c>
      <c r="F412" s="1"/>
      <c r="G412" s="1"/>
      <c r="H412" s="1">
        <v>43042.208333333343</v>
      </c>
      <c r="I412" s="1"/>
      <c r="J412" s="1"/>
      <c r="K412" s="1"/>
      <c r="L412" s="1"/>
      <c r="M412" s="1"/>
      <c r="N412" s="1"/>
      <c r="O412" s="1"/>
      <c r="P412" s="1"/>
      <c r="Q412" s="1"/>
      <c r="R412" s="1"/>
      <c r="S412" s="1"/>
      <c r="T412" s="1"/>
      <c r="U412" s="1"/>
      <c r="V412" s="1"/>
      <c r="W412" s="1"/>
      <c r="X412" s="1"/>
      <c r="Y412" s="1"/>
      <c r="Z412" s="1"/>
      <c r="AA412" s="1"/>
      <c r="AB412" s="1"/>
      <c r="AC412" s="1"/>
      <c r="AD412" s="1"/>
      <c r="AE412" s="1"/>
      <c r="AF412" s="1">
        <v>43091.25</v>
      </c>
      <c r="AG412" s="1"/>
      <c r="AH412" s="1"/>
      <c r="AI412" s="1"/>
      <c r="AJ412" s="1"/>
      <c r="AK412" s="1"/>
      <c r="AL412" s="1"/>
      <c r="AM412" s="1"/>
      <c r="AN412" s="1"/>
      <c r="AO412" s="1"/>
      <c r="AP412" s="1"/>
      <c r="AQ412" s="1">
        <v>43286.25</v>
      </c>
      <c r="AR412" s="1">
        <v>43390.25</v>
      </c>
      <c r="AS412" s="1"/>
      <c r="AT412" s="1"/>
      <c r="AU412" s="1"/>
      <c r="AV412" s="1">
        <v>43389.25</v>
      </c>
      <c r="AW412" s="1"/>
      <c r="AX412" s="1"/>
      <c r="AY412" s="1"/>
      <c r="AZ412" s="1">
        <v>43390.25</v>
      </c>
      <c r="BA412" s="1"/>
      <c r="BB412" s="1"/>
      <c r="BC412" s="1"/>
      <c r="BD412" s="1"/>
      <c r="BE412" s="1"/>
      <c r="BF412" s="1"/>
      <c r="BG412" s="1"/>
      <c r="BH412" s="1"/>
      <c r="BI412" s="1"/>
      <c r="BJ412" s="1"/>
      <c r="BK412" s="1"/>
      <c r="BL412" s="1"/>
      <c r="BM412" s="1">
        <v>43391.25</v>
      </c>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row>
    <row r="413" spans="1:216" x14ac:dyDescent="0.3">
      <c r="A413" s="3" t="str">
        <f>HYPERLINK("https://hpr-rps.hres.ca/reg-content/summary-basis-decision-detailTwo.php?lang=en&amp;linkID=SBD00424", "Cresemba")</f>
        <v>Cresemba</v>
      </c>
      <c r="B413" s="1" t="s">
        <v>1078</v>
      </c>
      <c r="C413" s="1" t="s">
        <v>1079</v>
      </c>
      <c r="D413" s="1" t="s">
        <v>1080</v>
      </c>
      <c r="E413" s="1">
        <v>42628.25</v>
      </c>
      <c r="F413" s="1"/>
      <c r="G413" s="1"/>
      <c r="H413" s="1">
        <v>43034.25</v>
      </c>
      <c r="I413" s="1"/>
      <c r="J413" s="1"/>
      <c r="K413" s="1"/>
      <c r="L413" s="1"/>
      <c r="M413" s="1"/>
      <c r="N413" s="1"/>
      <c r="O413" s="1"/>
      <c r="P413" s="1"/>
      <c r="Q413" s="1"/>
      <c r="R413" s="1"/>
      <c r="S413" s="1"/>
      <c r="T413" s="1"/>
      <c r="U413" s="1"/>
      <c r="V413" s="1"/>
      <c r="W413" s="1"/>
      <c r="X413" s="1"/>
      <c r="Y413" s="1"/>
      <c r="Z413" s="1">
        <v>43066.25</v>
      </c>
      <c r="AA413" s="1"/>
      <c r="AB413" s="1"/>
      <c r="AC413" s="1">
        <v>43111.25</v>
      </c>
      <c r="AD413" s="1"/>
      <c r="AE413" s="1"/>
      <c r="AF413" s="1">
        <v>43158.25</v>
      </c>
      <c r="AG413" s="1"/>
      <c r="AH413" s="1"/>
      <c r="AI413" s="1"/>
      <c r="AJ413" s="1"/>
      <c r="AK413" s="1"/>
      <c r="AL413" s="1"/>
      <c r="AM413" s="1"/>
      <c r="AN413" s="1"/>
      <c r="AO413" s="1"/>
      <c r="AP413" s="1"/>
      <c r="AQ413" s="1">
        <v>43398.25</v>
      </c>
      <c r="AR413" s="1">
        <v>43448.25</v>
      </c>
      <c r="AS413" s="1"/>
      <c r="AT413" s="1"/>
      <c r="AU413" s="1"/>
      <c r="AV413" s="1">
        <v>43448.25</v>
      </c>
      <c r="AW413" s="1"/>
      <c r="AX413" s="1"/>
      <c r="AY413" s="1"/>
      <c r="AZ413" s="1">
        <v>43448.25</v>
      </c>
      <c r="BA413" s="1"/>
      <c r="BB413" s="1"/>
      <c r="BC413" s="1"/>
      <c r="BD413" s="1"/>
      <c r="BE413" s="1"/>
      <c r="BF413" s="1"/>
      <c r="BG413" s="1"/>
      <c r="BH413" s="1"/>
      <c r="BI413" s="1"/>
      <c r="BJ413" s="1"/>
      <c r="BK413" s="1"/>
      <c r="BL413" s="1"/>
      <c r="BM413" s="1">
        <v>43453.25</v>
      </c>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row>
    <row r="414" spans="1:216" x14ac:dyDescent="0.3">
      <c r="A414" s="3" t="str">
        <f>HYPERLINK("https://hpr-rps.hres.ca/reg-content/summary-basis-decision-detailTwo.php?lang=en&amp;linkID=SBD00425", "Vyzulta")</f>
        <v>Vyzulta</v>
      </c>
      <c r="B414" s="1" t="s">
        <v>1081</v>
      </c>
      <c r="C414" s="1" t="s">
        <v>129</v>
      </c>
      <c r="D414" s="1" t="s">
        <v>1082</v>
      </c>
      <c r="E414" s="1"/>
      <c r="F414" s="1"/>
      <c r="G414" s="1"/>
      <c r="H414" s="1">
        <v>43124.25</v>
      </c>
      <c r="I414" s="1"/>
      <c r="J414" s="1"/>
      <c r="K414" s="1"/>
      <c r="L414" s="1"/>
      <c r="M414" s="1"/>
      <c r="N414" s="1"/>
      <c r="O414" s="1"/>
      <c r="P414" s="1"/>
      <c r="Q414" s="1"/>
      <c r="R414" s="1"/>
      <c r="S414" s="1"/>
      <c r="T414" s="1"/>
      <c r="U414" s="1"/>
      <c r="V414" s="1"/>
      <c r="W414" s="1"/>
      <c r="X414" s="1"/>
      <c r="Y414" s="1"/>
      <c r="Z414" s="1">
        <v>43138.25</v>
      </c>
      <c r="AA414" s="1"/>
      <c r="AB414" s="1"/>
      <c r="AC414" s="1">
        <v>43144.25</v>
      </c>
      <c r="AD414" s="1"/>
      <c r="AE414" s="1"/>
      <c r="AF414" s="1">
        <v>43167.25</v>
      </c>
      <c r="AG414" s="1"/>
      <c r="AH414" s="1"/>
      <c r="AI414" s="1"/>
      <c r="AJ414" s="1"/>
      <c r="AK414" s="1"/>
      <c r="AL414" s="1"/>
      <c r="AM414" s="1"/>
      <c r="AN414" s="1"/>
      <c r="AO414" s="1"/>
      <c r="AP414" s="1"/>
      <c r="AQ414" s="1">
        <v>43266.25</v>
      </c>
      <c r="AR414" s="1">
        <v>43454.25</v>
      </c>
      <c r="AS414" s="1"/>
      <c r="AT414" s="1"/>
      <c r="AU414" s="1">
        <v>43454.25</v>
      </c>
      <c r="AV414" s="1">
        <v>43454.25</v>
      </c>
      <c r="AW414" s="1"/>
      <c r="AX414" s="1">
        <v>43279.25</v>
      </c>
      <c r="AY414" s="1"/>
      <c r="AZ414" s="1"/>
      <c r="BA414" s="1"/>
      <c r="BB414" s="1"/>
      <c r="BC414" s="1"/>
      <c r="BD414" s="1"/>
      <c r="BE414" s="1"/>
      <c r="BF414" s="1"/>
      <c r="BG414" s="1"/>
      <c r="BH414" s="1"/>
      <c r="BI414" s="1"/>
      <c r="BJ414" s="1"/>
      <c r="BK414" s="1"/>
      <c r="BL414" s="1"/>
      <c r="BM414" s="1">
        <v>43461.25</v>
      </c>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row>
    <row r="415" spans="1:216" x14ac:dyDescent="0.3">
      <c r="A415" s="3" t="str">
        <f>HYPERLINK("https://hpr-rps.hres.ca/reg-content/summary-basis-decision-detailTwo.php?lang=en&amp;linkID=SBD00435", "BioThrax")</f>
        <v>BioThrax</v>
      </c>
      <c r="B415" s="1" t="s">
        <v>1083</v>
      </c>
      <c r="C415" s="1" t="s">
        <v>1084</v>
      </c>
      <c r="D415" s="1" t="s">
        <v>1085</v>
      </c>
      <c r="E415" s="1">
        <v>42940.25</v>
      </c>
      <c r="F415" s="1"/>
      <c r="G415" s="1"/>
      <c r="H415" s="1">
        <v>43098.25</v>
      </c>
      <c r="I415" s="1"/>
      <c r="J415" s="1"/>
      <c r="K415" s="1"/>
      <c r="L415" s="1"/>
      <c r="M415" s="1"/>
      <c r="N415" s="1"/>
      <c r="O415" s="1"/>
      <c r="P415" s="1"/>
      <c r="Q415" s="1"/>
      <c r="R415" s="1"/>
      <c r="S415" s="1"/>
      <c r="T415" s="1"/>
      <c r="U415" s="1"/>
      <c r="V415" s="1"/>
      <c r="W415" s="1"/>
      <c r="X415" s="1"/>
      <c r="Y415" s="1"/>
      <c r="Z415" s="1"/>
      <c r="AA415" s="1"/>
      <c r="AB415" s="1"/>
      <c r="AC415" s="1"/>
      <c r="AD415" s="1"/>
      <c r="AE415" s="1"/>
      <c r="AF415" s="1">
        <v>43147.25</v>
      </c>
      <c r="AG415" s="1"/>
      <c r="AH415" s="1"/>
      <c r="AI415" s="1"/>
      <c r="AJ415" s="1"/>
      <c r="AK415" s="1"/>
      <c r="AL415" s="1"/>
      <c r="AM415" s="1"/>
      <c r="AN415" s="1"/>
      <c r="AO415" s="1">
        <v>43290.25</v>
      </c>
      <c r="AP415" s="1"/>
      <c r="AQ415" s="1"/>
      <c r="AR415" s="1">
        <v>43444.25</v>
      </c>
      <c r="AS415" s="1"/>
      <c r="AT415" s="1"/>
      <c r="AU415" s="1"/>
      <c r="AV415" s="1">
        <v>43413.25</v>
      </c>
      <c r="AW415" s="1"/>
      <c r="AX415" s="1"/>
      <c r="AY415" s="1"/>
      <c r="AZ415" s="1">
        <v>43418.25</v>
      </c>
      <c r="BA415" s="1"/>
      <c r="BB415" s="1"/>
      <c r="BC415" s="1"/>
      <c r="BD415" s="1"/>
      <c r="BE415" s="1"/>
      <c r="BF415" s="1"/>
      <c r="BG415" s="1"/>
      <c r="BH415" s="1"/>
      <c r="BI415" s="1"/>
      <c r="BJ415" s="1"/>
      <c r="BK415" s="1"/>
      <c r="BL415" s="1"/>
      <c r="BM415" s="1">
        <v>43447.25</v>
      </c>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row>
    <row r="416" spans="1:216" x14ac:dyDescent="0.3">
      <c r="A416" s="3" t="str">
        <f>HYPERLINK("https://hpr-rps.hres.ca/reg-content/summary-basis-decision-detailTwo.php?lang=en&amp;linkID=SBD00426", "Orilissa")</f>
        <v>Orilissa</v>
      </c>
      <c r="B416" s="1" t="s">
        <v>1086</v>
      </c>
      <c r="C416" s="1" t="s">
        <v>694</v>
      </c>
      <c r="D416" s="1" t="s">
        <v>1087</v>
      </c>
      <c r="E416" s="1">
        <v>42851.25</v>
      </c>
      <c r="F416" s="1"/>
      <c r="G416" s="1"/>
      <c r="H416" s="1">
        <v>43000.25</v>
      </c>
      <c r="I416" s="1"/>
      <c r="J416" s="1"/>
      <c r="K416" s="1"/>
      <c r="L416" s="1"/>
      <c r="M416" s="1"/>
      <c r="N416" s="1"/>
      <c r="O416" s="1"/>
      <c r="P416" s="1"/>
      <c r="Q416" s="1"/>
      <c r="R416" s="1"/>
      <c r="S416" s="1"/>
      <c r="T416" s="1"/>
      <c r="U416" s="1"/>
      <c r="V416" s="1"/>
      <c r="W416" s="1"/>
      <c r="X416" s="1"/>
      <c r="Y416" s="1"/>
      <c r="Z416" s="1">
        <v>43049.25</v>
      </c>
      <c r="AA416" s="1"/>
      <c r="AB416" s="1"/>
      <c r="AC416" s="1">
        <v>43061.25</v>
      </c>
      <c r="AD416" s="1"/>
      <c r="AE416" s="1"/>
      <c r="AF416" s="1">
        <v>43061.25</v>
      </c>
      <c r="AG416" s="1"/>
      <c r="AH416" s="1"/>
      <c r="AI416" s="1"/>
      <c r="AJ416" s="1"/>
      <c r="AK416" s="1"/>
      <c r="AL416" s="1"/>
      <c r="AM416" s="1"/>
      <c r="AN416" s="1"/>
      <c r="AO416" s="1"/>
      <c r="AP416" s="1"/>
      <c r="AQ416" s="1">
        <v>43367.25</v>
      </c>
      <c r="AR416" s="1">
        <v>43376.25</v>
      </c>
      <c r="AS416" s="1">
        <v>43287.25</v>
      </c>
      <c r="AT416" s="1"/>
      <c r="AU416" s="1">
        <v>43378.25</v>
      </c>
      <c r="AV416" s="1">
        <v>43378.25</v>
      </c>
      <c r="AW416" s="1"/>
      <c r="AX416" s="1">
        <v>43369.25</v>
      </c>
      <c r="AY416" s="1"/>
      <c r="AZ416" s="1">
        <v>43377.25</v>
      </c>
      <c r="BA416" s="1"/>
      <c r="BB416" s="1"/>
      <c r="BC416" s="1"/>
      <c r="BD416" s="1"/>
      <c r="BE416" s="1"/>
      <c r="BF416" s="1"/>
      <c r="BG416" s="1"/>
      <c r="BH416" s="1"/>
      <c r="BI416" s="1"/>
      <c r="BJ416" s="1"/>
      <c r="BK416" s="1"/>
      <c r="BL416" s="1"/>
      <c r="BM416" s="1">
        <v>43378.25</v>
      </c>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row>
    <row r="417" spans="1:216" x14ac:dyDescent="0.3">
      <c r="A417" s="3" t="str">
        <f>HYPERLINK("https://hpr-rps.hres.ca/reg-content/summary-basis-decision-detailTwo.php?lang=en&amp;linkID=SBD00427", "Folotyn")</f>
        <v>Folotyn</v>
      </c>
      <c r="B417" s="1" t="s">
        <v>1088</v>
      </c>
      <c r="C417" s="1" t="s">
        <v>177</v>
      </c>
      <c r="D417" s="1" t="s">
        <v>1089</v>
      </c>
      <c r="E417" s="1">
        <v>42766.25</v>
      </c>
      <c r="F417" s="1"/>
      <c r="G417" s="1"/>
      <c r="H417" s="1">
        <v>42934.25</v>
      </c>
      <c r="I417" s="1"/>
      <c r="J417" s="1"/>
      <c r="K417" s="1"/>
      <c r="L417" s="1"/>
      <c r="M417" s="1"/>
      <c r="N417" s="1"/>
      <c r="O417" s="1"/>
      <c r="P417" s="1"/>
      <c r="Q417" s="1"/>
      <c r="R417" s="1"/>
      <c r="S417" s="1"/>
      <c r="T417" s="1"/>
      <c r="U417" s="1"/>
      <c r="V417" s="1"/>
      <c r="W417" s="1"/>
      <c r="X417" s="1"/>
      <c r="Y417" s="1"/>
      <c r="Z417" s="1">
        <v>42978.25</v>
      </c>
      <c r="AA417" s="1"/>
      <c r="AB417" s="1"/>
      <c r="AC417" s="1">
        <v>43013.25</v>
      </c>
      <c r="AD417" s="1"/>
      <c r="AE417" s="1"/>
      <c r="AF417" s="1">
        <v>43054.25</v>
      </c>
      <c r="AG417" s="1"/>
      <c r="AH417" s="1"/>
      <c r="AI417" s="1"/>
      <c r="AJ417" s="1"/>
      <c r="AK417" s="1"/>
      <c r="AL417" s="1"/>
      <c r="AM417" s="1"/>
      <c r="AN417" s="1"/>
      <c r="AO417" s="1"/>
      <c r="AP417" s="1"/>
      <c r="AQ417" s="1">
        <v>43258.25</v>
      </c>
      <c r="AR417" s="1">
        <v>43353.25</v>
      </c>
      <c r="AS417" s="1"/>
      <c r="AT417" s="1"/>
      <c r="AU417" s="1"/>
      <c r="AV417" s="1">
        <v>43350.25</v>
      </c>
      <c r="AW417" s="1"/>
      <c r="AX417" s="1"/>
      <c r="AY417" s="1"/>
      <c r="AZ417" s="1"/>
      <c r="BA417" s="1"/>
      <c r="BB417" s="1"/>
      <c r="BC417" s="1"/>
      <c r="BD417" s="1"/>
      <c r="BE417" s="1"/>
      <c r="BF417" s="1"/>
      <c r="BG417" s="1"/>
      <c r="BH417" s="1"/>
      <c r="BI417" s="1"/>
      <c r="BJ417" s="1"/>
      <c r="BK417" s="1">
        <v>43353.25</v>
      </c>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v>43391.25</v>
      </c>
      <c r="CV417" s="1"/>
      <c r="CW417" s="1"/>
      <c r="CX417" s="1"/>
      <c r="CY417" s="1"/>
      <c r="CZ417" s="1"/>
      <c r="DA417" s="1"/>
      <c r="DB417" s="1"/>
      <c r="DC417" s="1"/>
      <c r="DD417" s="1"/>
      <c r="DE417" s="1"/>
      <c r="DF417" s="1"/>
      <c r="DG417" s="1">
        <v>43399.25</v>
      </c>
      <c r="DH417" s="1"/>
      <c r="DI417" s="1"/>
      <c r="DJ417" s="1"/>
      <c r="DK417" s="1"/>
      <c r="DL417" s="1"/>
      <c r="DM417" s="1"/>
      <c r="DN417" s="1"/>
      <c r="DO417" s="1"/>
      <c r="DP417" s="1"/>
      <c r="DQ417" s="1"/>
      <c r="DR417" s="1"/>
      <c r="DS417" s="1"/>
      <c r="DT417" s="1">
        <v>43371.25</v>
      </c>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row>
    <row r="418" spans="1:216" x14ac:dyDescent="0.3">
      <c r="A418" s="3" t="str">
        <f>HYPERLINK("https://hpr-rps.hres.ca/reg-content/summary-basis-decision-detailTwo.php?lang=en&amp;linkID=SBD00438", "Lorbrena")</f>
        <v>Lorbrena</v>
      </c>
      <c r="B418" s="1" t="s">
        <v>1090</v>
      </c>
      <c r="C418" s="1" t="s">
        <v>1091</v>
      </c>
      <c r="D418" s="1" t="s">
        <v>1092</v>
      </c>
      <c r="E418" s="1">
        <v>43137.25</v>
      </c>
      <c r="F418" s="1"/>
      <c r="G418" s="1">
        <v>43194.25</v>
      </c>
      <c r="H418" s="1">
        <v>43216.25</v>
      </c>
      <c r="I418" s="1"/>
      <c r="J418" s="1"/>
      <c r="K418" s="1"/>
      <c r="L418" s="1"/>
      <c r="M418" s="1"/>
      <c r="N418" s="1"/>
      <c r="O418" s="1"/>
      <c r="P418" s="1"/>
      <c r="Q418" s="1"/>
      <c r="R418" s="1"/>
      <c r="S418" s="1"/>
      <c r="T418" s="1"/>
      <c r="U418" s="1"/>
      <c r="V418" s="1"/>
      <c r="W418" s="1"/>
      <c r="X418" s="1"/>
      <c r="Y418" s="1"/>
      <c r="Z418" s="1">
        <v>43244.25</v>
      </c>
      <c r="AA418" s="1"/>
      <c r="AB418" s="1"/>
      <c r="AC418" s="1">
        <v>43258.25</v>
      </c>
      <c r="AD418" s="1"/>
      <c r="AE418" s="1"/>
      <c r="AF418" s="1">
        <v>43269.25</v>
      </c>
      <c r="AG418" s="1"/>
      <c r="AH418" s="1"/>
      <c r="AI418" s="1"/>
      <c r="AJ418" s="1"/>
      <c r="AK418" s="1"/>
      <c r="AL418" s="1"/>
      <c r="AM418" s="1"/>
      <c r="AN418" s="1"/>
      <c r="AO418" s="1"/>
      <c r="AP418" s="1"/>
      <c r="AQ418" s="1">
        <v>43453.25</v>
      </c>
      <c r="AR418" s="1">
        <v>43454.25</v>
      </c>
      <c r="AS418" s="1">
        <v>43413.25</v>
      </c>
      <c r="AT418" s="1"/>
      <c r="AU418" s="1">
        <v>43465.25</v>
      </c>
      <c r="AV418" s="1">
        <v>43465.25</v>
      </c>
      <c r="AW418" s="1"/>
      <c r="AX418" s="1"/>
      <c r="AY418" s="1"/>
      <c r="AZ418" s="1"/>
      <c r="BA418" s="1"/>
      <c r="BB418" s="1"/>
      <c r="BC418" s="1"/>
      <c r="BD418" s="1"/>
      <c r="BE418" s="1"/>
      <c r="BF418" s="1"/>
      <c r="BG418" s="1"/>
      <c r="BH418" s="1"/>
      <c r="BI418" s="1"/>
      <c r="BJ418" s="1"/>
      <c r="BK418" s="1">
        <v>43467.25</v>
      </c>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v>43516.25</v>
      </c>
      <c r="CQ418" s="1"/>
      <c r="CR418" s="1"/>
      <c r="CS418" s="1"/>
      <c r="CT418" s="1"/>
      <c r="CU418" s="1"/>
      <c r="CV418" s="1"/>
      <c r="CW418" s="1"/>
      <c r="CX418" s="1"/>
      <c r="CY418" s="1"/>
      <c r="CZ418" s="1"/>
      <c r="DA418" s="1"/>
      <c r="DB418" s="1"/>
      <c r="DC418" s="1"/>
      <c r="DD418" s="1"/>
      <c r="DE418" s="1"/>
      <c r="DF418" s="1"/>
      <c r="DG418" s="1">
        <v>43518.25</v>
      </c>
      <c r="DH418" s="1"/>
      <c r="DI418" s="1"/>
      <c r="DJ418" s="1"/>
      <c r="DK418" s="1"/>
      <c r="DL418" s="1"/>
      <c r="DM418" s="1"/>
      <c r="DN418" s="1"/>
      <c r="DO418" s="1"/>
      <c r="DP418" s="1"/>
      <c r="DQ418" s="1"/>
      <c r="DR418" s="1"/>
      <c r="DS418" s="1"/>
      <c r="DT418" s="1">
        <v>43488.25</v>
      </c>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row>
    <row r="419" spans="1:216" x14ac:dyDescent="0.3">
      <c r="A419" s="3" t="str">
        <f>HYPERLINK("https://hpr-rps.hres.ca/reg-content/summary-basis-decision-detailTwo.php?lang=en&amp;linkID=SBD00428", "Unituxin")</f>
        <v>Unituxin</v>
      </c>
      <c r="B419" s="1" t="s">
        <v>1093</v>
      </c>
      <c r="C419" s="1" t="s">
        <v>1094</v>
      </c>
      <c r="D419" s="1" t="s">
        <v>1095</v>
      </c>
      <c r="E419" s="1"/>
      <c r="F419" s="1"/>
      <c r="G419" s="1"/>
      <c r="H419" s="1">
        <v>43083.25</v>
      </c>
      <c r="I419" s="1"/>
      <c r="J419" s="1"/>
      <c r="K419" s="1"/>
      <c r="L419" s="1"/>
      <c r="M419" s="1"/>
      <c r="N419" s="1"/>
      <c r="O419" s="1"/>
      <c r="P419" s="1"/>
      <c r="Q419" s="1"/>
      <c r="R419" s="1"/>
      <c r="S419" s="1"/>
      <c r="T419" s="1"/>
      <c r="U419" s="1"/>
      <c r="V419" s="1"/>
      <c r="W419" s="1"/>
      <c r="X419" s="1"/>
      <c r="Y419" s="1"/>
      <c r="Z419" s="1"/>
      <c r="AA419" s="1"/>
      <c r="AB419" s="1"/>
      <c r="AC419" s="1"/>
      <c r="AD419" s="1"/>
      <c r="AE419" s="1"/>
      <c r="AF419" s="1">
        <v>43132.25</v>
      </c>
      <c r="AG419" s="1"/>
      <c r="AH419" s="1"/>
      <c r="AI419" s="1"/>
      <c r="AJ419" s="1"/>
      <c r="AK419" s="1"/>
      <c r="AL419" s="1"/>
      <c r="AM419" s="1"/>
      <c r="AN419" s="1"/>
      <c r="AO419" s="1">
        <v>43388.25</v>
      </c>
      <c r="AP419" s="1"/>
      <c r="AQ419" s="1">
        <v>43374.25</v>
      </c>
      <c r="AR419" s="1">
        <v>43431.25</v>
      </c>
      <c r="AS419" s="1"/>
      <c r="AT419" s="1"/>
      <c r="AU419" s="1">
        <v>43427.25</v>
      </c>
      <c r="AV419" s="1">
        <v>43423.25</v>
      </c>
      <c r="AW419" s="1"/>
      <c r="AX419" s="1"/>
      <c r="AY419" s="1"/>
      <c r="AZ419" s="1"/>
      <c r="BA419" s="1"/>
      <c r="BB419" s="1"/>
      <c r="BC419" s="1"/>
      <c r="BD419" s="1"/>
      <c r="BE419" s="1"/>
      <c r="BF419" s="1"/>
      <c r="BG419" s="1"/>
      <c r="BH419" s="1"/>
      <c r="BI419" s="1"/>
      <c r="BJ419" s="1"/>
      <c r="BK419" s="1"/>
      <c r="BL419" s="1"/>
      <c r="BM419" s="1">
        <v>43432.25</v>
      </c>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row>
    <row r="420" spans="1:216" x14ac:dyDescent="0.3">
      <c r="A420" s="3" t="str">
        <f>HYPERLINK("https://hpr-rps.hres.ca/reg-content/summary-basis-decision-detailTwo.php?lang=en&amp;linkID=SBD00429", "Crysvita")</f>
        <v>Crysvita</v>
      </c>
      <c r="B420" s="1" t="s">
        <v>1096</v>
      </c>
      <c r="C420" s="1" t="s">
        <v>1097</v>
      </c>
      <c r="D420" s="1" t="s">
        <v>1098</v>
      </c>
      <c r="E420" s="1">
        <v>43059.25</v>
      </c>
      <c r="F420" s="1"/>
      <c r="G420" s="1"/>
      <c r="H420" s="1"/>
      <c r="I420" s="1"/>
      <c r="J420" s="1"/>
      <c r="K420" s="1"/>
      <c r="L420" s="1"/>
      <c r="M420" s="1"/>
      <c r="N420" s="1">
        <v>43186.25</v>
      </c>
      <c r="O420" s="1"/>
      <c r="P420" s="1"/>
      <c r="Q420" s="1"/>
      <c r="R420" s="1"/>
      <c r="S420" s="1">
        <v>43214.25</v>
      </c>
      <c r="T420" s="1"/>
      <c r="U420" s="1"/>
      <c r="V420" s="1">
        <v>43236.25</v>
      </c>
      <c r="W420" s="1"/>
      <c r="X420" s="1"/>
      <c r="Y420" s="1"/>
      <c r="Z420" s="1"/>
      <c r="AA420" s="1"/>
      <c r="AB420" s="1"/>
      <c r="AC420" s="1"/>
      <c r="AD420" s="1"/>
      <c r="AE420" s="1"/>
      <c r="AF420" s="1">
        <v>43259.25</v>
      </c>
      <c r="AG420" s="1"/>
      <c r="AH420" s="1"/>
      <c r="AI420" s="1"/>
      <c r="AJ420" s="1"/>
      <c r="AK420" s="1"/>
      <c r="AL420" s="1"/>
      <c r="AM420" s="1"/>
      <c r="AN420" s="1"/>
      <c r="AO420" s="1">
        <v>43395.25</v>
      </c>
      <c r="AP420" s="1"/>
      <c r="AQ420" s="1">
        <v>43374.25</v>
      </c>
      <c r="AR420" s="1">
        <v>43438.25</v>
      </c>
      <c r="AS420" s="1"/>
      <c r="AT420" s="1"/>
      <c r="AU420" s="1">
        <v>43439.25</v>
      </c>
      <c r="AV420" s="1">
        <v>43432.25</v>
      </c>
      <c r="AW420" s="1"/>
      <c r="AX420" s="1"/>
      <c r="AY420" s="1"/>
      <c r="AZ420" s="1"/>
      <c r="BA420" s="1"/>
      <c r="BB420" s="1"/>
      <c r="BC420" s="1"/>
      <c r="BD420" s="1"/>
      <c r="BE420" s="1"/>
      <c r="BF420" s="1"/>
      <c r="BG420" s="1"/>
      <c r="BH420" s="1"/>
      <c r="BI420" s="1"/>
      <c r="BJ420" s="1"/>
      <c r="BK420" s="1"/>
      <c r="BL420" s="1"/>
      <c r="BM420" s="1">
        <v>43439.25</v>
      </c>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row>
    <row r="421" spans="1:216" x14ac:dyDescent="0.3">
      <c r="A421" s="3" t="str">
        <f>HYPERLINK("https://hpr-rps.hres.ca/reg-content/summary-basis-decision-detailTwo.php?lang=en&amp;linkID=SBD00470", "Osnuvo")</f>
        <v>Osnuvo</v>
      </c>
      <c r="B421" s="1" t="s">
        <v>1099</v>
      </c>
      <c r="C421" s="1" t="s">
        <v>1079</v>
      </c>
      <c r="D421" s="1" t="s">
        <v>1100</v>
      </c>
      <c r="E421" s="1">
        <v>42423.25</v>
      </c>
      <c r="F421" s="1"/>
      <c r="G421" s="1"/>
      <c r="H421" s="1">
        <v>43206.25</v>
      </c>
      <c r="I421" s="1"/>
      <c r="J421" s="1"/>
      <c r="K421" s="1"/>
      <c r="L421" s="1"/>
      <c r="M421" s="1"/>
      <c r="N421" s="1"/>
      <c r="O421" s="1"/>
      <c r="P421" s="1"/>
      <c r="Q421" s="1"/>
      <c r="R421" s="1"/>
      <c r="S421" s="1"/>
      <c r="T421" s="1"/>
      <c r="U421" s="1"/>
      <c r="V421" s="1"/>
      <c r="W421" s="1"/>
      <c r="X421" s="1"/>
      <c r="Y421" s="1"/>
      <c r="Z421" s="1"/>
      <c r="AA421" s="1"/>
      <c r="AB421" s="1"/>
      <c r="AC421" s="1"/>
      <c r="AD421" s="1"/>
      <c r="AE421" s="1"/>
      <c r="AF421" s="1">
        <v>43252.25</v>
      </c>
      <c r="AG421" s="1"/>
      <c r="AH421" s="1"/>
      <c r="AI421" s="1"/>
      <c r="AJ421" s="1"/>
      <c r="AK421" s="1"/>
      <c r="AL421" s="1"/>
      <c r="AM421" s="1"/>
      <c r="AN421" s="1"/>
      <c r="AO421" s="1"/>
      <c r="AP421" s="1"/>
      <c r="AQ421" s="1">
        <v>43468.25</v>
      </c>
      <c r="AR421" s="1"/>
      <c r="AS421" s="1"/>
      <c r="AT421" s="1"/>
      <c r="AU421" s="1"/>
      <c r="AV421" s="1">
        <v>43476.25</v>
      </c>
      <c r="AW421" s="1"/>
      <c r="AX421" s="1"/>
      <c r="AY421" s="1"/>
      <c r="AZ421" s="1">
        <v>43479.25</v>
      </c>
      <c r="BA421" s="1"/>
      <c r="BB421" s="1"/>
      <c r="BC421" s="1"/>
      <c r="BD421" s="1"/>
      <c r="BE421" s="1"/>
      <c r="BF421" s="1"/>
      <c r="BG421" s="1"/>
      <c r="BH421" s="1"/>
      <c r="BI421" s="1"/>
      <c r="BJ421" s="1"/>
      <c r="BK421" s="1"/>
      <c r="BL421" s="1"/>
      <c r="BM421" s="1"/>
      <c r="BN421" s="1"/>
      <c r="BO421" s="1"/>
      <c r="BP421" s="1">
        <v>43489.25</v>
      </c>
      <c r="BQ421" s="1"/>
      <c r="BR421" s="1"/>
      <c r="BS421" s="1"/>
      <c r="BT421" s="1"/>
      <c r="BU421" s="1"/>
      <c r="BV421" s="1"/>
      <c r="BW421" s="1"/>
      <c r="BX421" s="1"/>
      <c r="BY421" s="1">
        <v>43529.25</v>
      </c>
      <c r="BZ421" s="1"/>
      <c r="CA421" s="1"/>
      <c r="CB421" s="1"/>
      <c r="CC421" s="1"/>
      <c r="CD421" s="1"/>
      <c r="CE421" s="1"/>
      <c r="CF421" s="1"/>
      <c r="CG421" s="1"/>
      <c r="CH421" s="1"/>
      <c r="CI421" s="1"/>
      <c r="CJ421" s="1"/>
      <c r="CK421" s="1"/>
      <c r="CL421" s="1"/>
      <c r="CM421" s="1"/>
      <c r="CN421" s="1"/>
      <c r="CO421" s="1"/>
      <c r="CP421" s="1"/>
      <c r="CQ421" s="1"/>
      <c r="CR421" s="1">
        <v>43543.208333333343</v>
      </c>
      <c r="CS421" s="1"/>
      <c r="CT421" s="1"/>
      <c r="CU421" s="1"/>
      <c r="CV421" s="1"/>
      <c r="CW421" s="1"/>
      <c r="CX421" s="1"/>
      <c r="CY421" s="1"/>
      <c r="CZ421" s="1"/>
      <c r="DA421" s="1">
        <v>43633.25</v>
      </c>
      <c r="DB421" s="1"/>
      <c r="DC421" s="1"/>
      <c r="DD421" s="1">
        <v>43840.25</v>
      </c>
      <c r="DE421" s="1"/>
      <c r="DF421" s="1"/>
      <c r="DG421" s="1"/>
      <c r="DH421" s="1">
        <v>43840.25</v>
      </c>
      <c r="DI421" s="1"/>
      <c r="DJ421" s="1"/>
      <c r="DK421" s="1"/>
      <c r="DL421" s="1">
        <v>43838.25</v>
      </c>
      <c r="DM421" s="1"/>
      <c r="DN421" s="1"/>
      <c r="DO421" s="1"/>
      <c r="DP421" s="1"/>
      <c r="DQ421" s="1"/>
      <c r="DR421" s="1"/>
      <c r="DS421" s="1"/>
      <c r="DT421" s="1"/>
      <c r="DU421" s="1"/>
      <c r="DV421" s="1"/>
      <c r="DW421" s="1"/>
      <c r="DX421" s="1"/>
      <c r="DY421" s="1">
        <v>43843.25</v>
      </c>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row>
    <row r="422" spans="1:216" x14ac:dyDescent="0.3">
      <c r="A422" s="3" t="str">
        <f>HYPERLINK("https://hpr-rps.hres.ca/reg-content/summary-basis-decision-detailTwo.php?lang=en&amp;linkID=SBD00430", "Brineura")</f>
        <v>Brineura</v>
      </c>
      <c r="B422" s="1" t="s">
        <v>1101</v>
      </c>
      <c r="C422" s="1" t="s">
        <v>573</v>
      </c>
      <c r="D422" s="1" t="s">
        <v>1102</v>
      </c>
      <c r="E422" s="1">
        <v>43061.25</v>
      </c>
      <c r="F422" s="1"/>
      <c r="G422" s="1"/>
      <c r="H422" s="1"/>
      <c r="I422" s="1"/>
      <c r="J422" s="1"/>
      <c r="K422" s="1"/>
      <c r="L422" s="1"/>
      <c r="M422" s="1"/>
      <c r="N422" s="1">
        <v>43159.25</v>
      </c>
      <c r="O422" s="1"/>
      <c r="P422" s="1"/>
      <c r="Q422" s="1"/>
      <c r="R422" s="1"/>
      <c r="S422" s="1">
        <v>43182.208333333343</v>
      </c>
      <c r="T422" s="1"/>
      <c r="U422" s="1"/>
      <c r="V422" s="1">
        <v>43245.25</v>
      </c>
      <c r="W422" s="1"/>
      <c r="X422" s="1"/>
      <c r="Y422" s="1"/>
      <c r="Z422" s="1"/>
      <c r="AA422" s="1"/>
      <c r="AB422" s="1"/>
      <c r="AC422" s="1"/>
      <c r="AD422" s="1"/>
      <c r="AE422" s="1"/>
      <c r="AF422" s="1">
        <v>43273.25</v>
      </c>
      <c r="AG422" s="1"/>
      <c r="AH422" s="1"/>
      <c r="AI422" s="1"/>
      <c r="AJ422" s="1"/>
      <c r="AK422" s="1"/>
      <c r="AL422" s="1"/>
      <c r="AM422" s="1"/>
      <c r="AN422" s="1"/>
      <c r="AO422" s="1"/>
      <c r="AP422" s="1"/>
      <c r="AQ422" s="1">
        <v>43385.25</v>
      </c>
      <c r="AR422" s="1">
        <v>43448.25</v>
      </c>
      <c r="AS422" s="1"/>
      <c r="AT422" s="1"/>
      <c r="AU422" s="1"/>
      <c r="AV422" s="1">
        <v>43452.25</v>
      </c>
      <c r="AW422" s="1"/>
      <c r="AX422" s="1"/>
      <c r="AY422" s="1"/>
      <c r="AZ422" s="1">
        <v>43453.25</v>
      </c>
      <c r="BA422" s="1"/>
      <c r="BB422" s="1"/>
      <c r="BC422" s="1"/>
      <c r="BD422" s="1"/>
      <c r="BE422" s="1"/>
      <c r="BF422" s="1"/>
      <c r="BG422" s="1"/>
      <c r="BH422" s="1"/>
      <c r="BI422" s="1"/>
      <c r="BJ422" s="1"/>
      <c r="BK422" s="1"/>
      <c r="BL422" s="1"/>
      <c r="BM422" s="1">
        <v>43453.25</v>
      </c>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row>
    <row r="423" spans="1:216" x14ac:dyDescent="0.3">
      <c r="A423" s="3" t="str">
        <f>HYPERLINK("https://hpr-rps.hres.ca/reg-content/summary-basis-decision-detailTwo.php?lang=en&amp;linkID=SBD00431", "Belsomra")</f>
        <v>Belsomra</v>
      </c>
      <c r="B423" s="1" t="s">
        <v>1103</v>
      </c>
      <c r="C423" s="1" t="s">
        <v>415</v>
      </c>
      <c r="D423" s="1" t="s">
        <v>1104</v>
      </c>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v>41285.25</v>
      </c>
      <c r="AG423" s="1"/>
      <c r="AH423" s="1"/>
      <c r="AI423" s="1"/>
      <c r="AJ423" s="1"/>
      <c r="AK423" s="1"/>
      <c r="AL423" s="1"/>
      <c r="AM423" s="1"/>
      <c r="AN423" s="1"/>
      <c r="AO423" s="1"/>
      <c r="AP423" s="1"/>
      <c r="AQ423" s="1">
        <v>41500.25</v>
      </c>
      <c r="AR423" s="1"/>
      <c r="AS423" s="1"/>
      <c r="AT423" s="1"/>
      <c r="AU423" s="1"/>
      <c r="AV423" s="1">
        <v>41579.208333333343</v>
      </c>
      <c r="AW423" s="1"/>
      <c r="AX423" s="1"/>
      <c r="AY423" s="1"/>
      <c r="AZ423" s="1">
        <v>41582.25</v>
      </c>
      <c r="BA423" s="1"/>
      <c r="BB423" s="1"/>
      <c r="BC423" s="1"/>
      <c r="BD423" s="1"/>
      <c r="BE423" s="1"/>
      <c r="BF423" s="1"/>
      <c r="BG423" s="1"/>
      <c r="BH423" s="1"/>
      <c r="BI423" s="1"/>
      <c r="BJ423" s="1"/>
      <c r="BK423" s="1"/>
      <c r="BL423" s="1"/>
      <c r="BM423" s="1"/>
      <c r="BN423" s="1"/>
      <c r="BO423" s="1"/>
      <c r="BP423" s="1">
        <v>41584.25</v>
      </c>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v>42608.25</v>
      </c>
      <c r="CS423" s="1"/>
      <c r="CT423" s="1"/>
      <c r="CU423" s="1"/>
      <c r="CV423" s="1"/>
      <c r="CW423" s="1"/>
      <c r="CX423" s="1"/>
      <c r="CY423" s="1"/>
      <c r="CZ423" s="1"/>
      <c r="DA423" s="1"/>
      <c r="DB423" s="1"/>
      <c r="DC423" s="1">
        <v>42927.25</v>
      </c>
      <c r="DD423" s="1"/>
      <c r="DE423" s="1"/>
      <c r="DF423" s="1"/>
      <c r="DG423" s="1"/>
      <c r="DH423" s="1">
        <v>42902.25</v>
      </c>
      <c r="DI423" s="1"/>
      <c r="DJ423" s="1"/>
      <c r="DK423" s="1"/>
      <c r="DL423" s="1">
        <v>42907.25</v>
      </c>
      <c r="DM423" s="1"/>
      <c r="DN423" s="1"/>
      <c r="DO423" s="1"/>
      <c r="DP423" s="1"/>
      <c r="DQ423" s="1"/>
      <c r="DR423" s="1"/>
      <c r="DS423" s="1"/>
      <c r="DT423" s="1"/>
      <c r="DU423" s="1"/>
      <c r="DV423" s="1"/>
      <c r="DW423" s="1"/>
      <c r="DX423" s="1"/>
      <c r="DY423" s="1"/>
      <c r="DZ423" s="1"/>
      <c r="EA423" s="1"/>
      <c r="EB423" s="1">
        <v>42908.25</v>
      </c>
      <c r="EC423" s="1"/>
      <c r="ED423" s="1"/>
      <c r="EE423" s="1"/>
      <c r="EF423" s="1"/>
      <c r="EG423" s="1"/>
      <c r="EH423" s="1"/>
      <c r="EI423" s="1"/>
      <c r="EJ423" s="1"/>
      <c r="EK423" s="1">
        <v>43090.25</v>
      </c>
      <c r="EL423" s="1"/>
      <c r="EM423" s="1"/>
      <c r="EN423" s="1"/>
      <c r="EO423" s="1"/>
      <c r="EP423" s="1"/>
      <c r="EQ423" s="1"/>
      <c r="ER423" s="1"/>
      <c r="ES423" s="1"/>
      <c r="ET423" s="1"/>
      <c r="EU423" s="1"/>
      <c r="EV423" s="1"/>
      <c r="EW423" s="1"/>
      <c r="EX423" s="1"/>
      <c r="EY423" s="1"/>
      <c r="EZ423" s="1"/>
      <c r="FA423" s="1"/>
      <c r="FB423" s="1"/>
      <c r="FC423" s="1"/>
      <c r="FD423" s="1">
        <v>43133.25</v>
      </c>
      <c r="FE423" s="1"/>
      <c r="FF423" s="1"/>
      <c r="FG423" s="1"/>
      <c r="FH423" s="1"/>
      <c r="FI423" s="1"/>
      <c r="FJ423" s="1"/>
      <c r="FK423" s="1"/>
      <c r="FL423" s="1"/>
      <c r="FM423" s="1"/>
      <c r="FN423" s="1"/>
      <c r="FO423" s="1">
        <v>43452.25</v>
      </c>
      <c r="FP423" s="1">
        <v>43389.25</v>
      </c>
      <c r="FQ423" s="1"/>
      <c r="FR423" s="1"/>
      <c r="FS423" s="1"/>
      <c r="FT423" s="1"/>
      <c r="FU423" s="1"/>
      <c r="FV423" s="1"/>
      <c r="FW423" s="1"/>
      <c r="FX423" s="1">
        <v>43433.25</v>
      </c>
      <c r="FY423" s="1"/>
      <c r="FZ423" s="1"/>
      <c r="GA423" s="1"/>
      <c r="GB423" s="1"/>
      <c r="GC423" s="1"/>
      <c r="GD423" s="1"/>
      <c r="GE423" s="1"/>
      <c r="GF423" s="1"/>
      <c r="GG423" s="1"/>
      <c r="GH423" s="1"/>
      <c r="GI423" s="1"/>
      <c r="GJ423" s="1"/>
      <c r="GK423" s="1">
        <v>43433.25</v>
      </c>
      <c r="GL423" s="1"/>
      <c r="GM423" s="1"/>
      <c r="GN423" s="1"/>
      <c r="GO423" s="1"/>
      <c r="GP423" s="1"/>
      <c r="GQ423" s="1"/>
      <c r="GR423" s="1"/>
      <c r="GS423" s="1"/>
      <c r="GT423" s="1"/>
      <c r="GU423" s="1"/>
      <c r="GV423" s="1"/>
      <c r="GW423" s="1"/>
      <c r="GX423" s="1"/>
      <c r="GY423" s="1"/>
      <c r="GZ423" s="1"/>
      <c r="HA423" s="1"/>
      <c r="HB423" s="1"/>
      <c r="HC423" s="1"/>
      <c r="HD423" s="1"/>
      <c r="HE423" s="1"/>
      <c r="HF423" s="1"/>
      <c r="HG423" s="1"/>
      <c r="HH423" s="1"/>
    </row>
    <row r="424" spans="1:216" x14ac:dyDescent="0.3">
      <c r="A424" s="3" t="str">
        <f>HYPERLINK("https://hpr-rps.hres.ca/reg-content/summary-basis-decision-detailTwo.php?lang=en&amp;linkID=SBD00432", "Fulphila")</f>
        <v>Fulphila</v>
      </c>
      <c r="B424" s="1" t="s">
        <v>1017</v>
      </c>
      <c r="C424" s="1" t="s">
        <v>1105</v>
      </c>
      <c r="D424" s="1" t="s">
        <v>1106</v>
      </c>
      <c r="E424" s="1">
        <v>42451.208333333343</v>
      </c>
      <c r="F424" s="1"/>
      <c r="G424" s="1"/>
      <c r="H424" s="1">
        <v>42704.25</v>
      </c>
      <c r="I424" s="1"/>
      <c r="J424" s="1"/>
      <c r="K424" s="1"/>
      <c r="L424" s="1"/>
      <c r="M424" s="1"/>
      <c r="N424" s="1"/>
      <c r="O424" s="1"/>
      <c r="P424" s="1"/>
      <c r="Q424" s="1"/>
      <c r="R424" s="1"/>
      <c r="S424" s="1"/>
      <c r="T424" s="1"/>
      <c r="U424" s="1"/>
      <c r="V424" s="1"/>
      <c r="W424" s="1"/>
      <c r="X424" s="1"/>
      <c r="Y424" s="1"/>
      <c r="Z424" s="1"/>
      <c r="AA424" s="1"/>
      <c r="AB424" s="1"/>
      <c r="AC424" s="1"/>
      <c r="AD424" s="1"/>
      <c r="AE424" s="1"/>
      <c r="AF424" s="1">
        <v>42762.25</v>
      </c>
      <c r="AG424" s="1"/>
      <c r="AH424" s="1"/>
      <c r="AI424" s="1"/>
      <c r="AJ424" s="1"/>
      <c r="AK424" s="1"/>
      <c r="AL424" s="1"/>
      <c r="AM424" s="1"/>
      <c r="AN424" s="1"/>
      <c r="AO424" s="1"/>
      <c r="AP424" s="1"/>
      <c r="AQ424" s="1">
        <v>42979.25</v>
      </c>
      <c r="AR424" s="1"/>
      <c r="AS424" s="1"/>
      <c r="AT424" s="1"/>
      <c r="AU424" s="1"/>
      <c r="AV424" s="1">
        <v>43025.25</v>
      </c>
      <c r="AW424" s="1"/>
      <c r="AX424" s="1"/>
      <c r="AY424" s="1"/>
      <c r="AZ424" s="1">
        <v>43026.25</v>
      </c>
      <c r="BA424" s="1"/>
      <c r="BB424" s="1"/>
      <c r="BC424" s="1"/>
      <c r="BD424" s="1"/>
      <c r="BE424" s="1"/>
      <c r="BF424" s="1"/>
      <c r="BG424" s="1"/>
      <c r="BH424" s="1"/>
      <c r="BI424" s="1"/>
      <c r="BJ424" s="1"/>
      <c r="BK424" s="1"/>
      <c r="BL424" s="1"/>
      <c r="BM424" s="1"/>
      <c r="BN424" s="1"/>
      <c r="BO424" s="1"/>
      <c r="BP424" s="1">
        <v>43028.25</v>
      </c>
      <c r="BQ424" s="1"/>
      <c r="BR424" s="1"/>
      <c r="BS424" s="1"/>
      <c r="BT424" s="1"/>
      <c r="BU424" s="1"/>
      <c r="BV424" s="1"/>
      <c r="BW424" s="1"/>
      <c r="BX424" s="1"/>
      <c r="BY424" s="1">
        <v>43118.25</v>
      </c>
      <c r="BZ424" s="1"/>
      <c r="CA424" s="1"/>
      <c r="CB424" s="1"/>
      <c r="CC424" s="1"/>
      <c r="CD424" s="1"/>
      <c r="CE424" s="1"/>
      <c r="CF424" s="1"/>
      <c r="CG424" s="1"/>
      <c r="CH424" s="1"/>
      <c r="CI424" s="1"/>
      <c r="CJ424" s="1"/>
      <c r="CK424" s="1"/>
      <c r="CL424" s="1"/>
      <c r="CM424" s="1"/>
      <c r="CN424" s="1"/>
      <c r="CO424" s="1"/>
      <c r="CP424" s="1"/>
      <c r="CQ424" s="1"/>
      <c r="CR424" s="1">
        <v>43164.25</v>
      </c>
      <c r="CS424" s="1"/>
      <c r="CT424" s="1"/>
      <c r="CU424" s="1"/>
      <c r="CV424" s="1"/>
      <c r="CW424" s="1"/>
      <c r="CX424" s="1"/>
      <c r="CY424" s="1"/>
      <c r="CZ424" s="1"/>
      <c r="DA424" s="1">
        <v>43269.25</v>
      </c>
      <c r="DB424" s="1"/>
      <c r="DC424" s="1"/>
      <c r="DD424" s="1">
        <v>43455.25</v>
      </c>
      <c r="DE424" s="1"/>
      <c r="DF424" s="1"/>
      <c r="DG424" s="1"/>
      <c r="DH424" s="1">
        <v>43453.25</v>
      </c>
      <c r="DI424" s="1"/>
      <c r="DJ424" s="1">
        <v>43455.25</v>
      </c>
      <c r="DK424" s="1"/>
      <c r="DL424" s="1">
        <v>43454.25</v>
      </c>
      <c r="DM424" s="1"/>
      <c r="DN424" s="1"/>
      <c r="DO424" s="1"/>
      <c r="DP424" s="1"/>
      <c r="DQ424" s="1"/>
      <c r="DR424" s="1"/>
      <c r="DS424" s="1"/>
      <c r="DT424" s="1"/>
      <c r="DU424" s="1"/>
      <c r="DV424" s="1"/>
      <c r="DW424" s="1"/>
      <c r="DX424" s="1"/>
      <c r="DY424" s="1">
        <v>43458.25</v>
      </c>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row>
    <row r="425" spans="1:216" x14ac:dyDescent="0.3">
      <c r="A425" s="3" t="str">
        <f>HYPERLINK("https://hpr-rps.hres.ca/reg-content/summary-basis-decision-detailTwo.php?lang=en&amp;linkID=SBD00433", "Lutathera")</f>
        <v>Lutathera</v>
      </c>
      <c r="B425" s="1" t="s">
        <v>1107</v>
      </c>
      <c r="C425" s="1" t="s">
        <v>1108</v>
      </c>
      <c r="D425" s="1" t="s">
        <v>1109</v>
      </c>
      <c r="E425" s="1">
        <v>43068.25</v>
      </c>
      <c r="F425" s="1"/>
      <c r="G425" s="1"/>
      <c r="H425" s="1"/>
      <c r="I425" s="1"/>
      <c r="J425" s="1"/>
      <c r="K425" s="1"/>
      <c r="L425" s="1"/>
      <c r="M425" s="1"/>
      <c r="N425" s="1">
        <v>43124.25</v>
      </c>
      <c r="O425" s="1"/>
      <c r="P425" s="1"/>
      <c r="Q425" s="1"/>
      <c r="R425" s="1"/>
      <c r="S425" s="1">
        <v>43150.25</v>
      </c>
      <c r="T425" s="1"/>
      <c r="U425" s="1"/>
      <c r="V425" s="1">
        <v>43269.25</v>
      </c>
      <c r="W425" s="1"/>
      <c r="X425" s="1"/>
      <c r="Y425" s="1"/>
      <c r="Z425" s="1"/>
      <c r="AA425" s="1"/>
      <c r="AB425" s="1"/>
      <c r="AC425" s="1"/>
      <c r="AD425" s="1"/>
      <c r="AE425" s="1"/>
      <c r="AF425" s="1">
        <v>43294.25</v>
      </c>
      <c r="AG425" s="1"/>
      <c r="AH425" s="1"/>
      <c r="AI425" s="1"/>
      <c r="AJ425" s="1"/>
      <c r="AK425" s="1"/>
      <c r="AL425" s="1"/>
      <c r="AM425" s="1"/>
      <c r="AN425" s="1"/>
      <c r="AO425" s="1"/>
      <c r="AP425" s="1"/>
      <c r="AQ425" s="1">
        <v>43410.25</v>
      </c>
      <c r="AR425" s="1">
        <v>43473.25</v>
      </c>
      <c r="AS425" s="1"/>
      <c r="AT425" s="1"/>
      <c r="AU425" s="1">
        <v>43473.25</v>
      </c>
      <c r="AV425" s="1">
        <v>43469.25</v>
      </c>
      <c r="AW425" s="1"/>
      <c r="AX425" s="1"/>
      <c r="AY425" s="1"/>
      <c r="AZ425" s="1"/>
      <c r="BA425" s="1"/>
      <c r="BB425" s="1"/>
      <c r="BC425" s="1"/>
      <c r="BD425" s="1"/>
      <c r="BE425" s="1"/>
      <c r="BF425" s="1"/>
      <c r="BG425" s="1"/>
      <c r="BH425" s="1"/>
      <c r="BI425" s="1"/>
      <c r="BJ425" s="1"/>
      <c r="BK425" s="1"/>
      <c r="BL425" s="1"/>
      <c r="BM425" s="1">
        <v>43474.25</v>
      </c>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row>
    <row r="426" spans="1:216" x14ac:dyDescent="0.3">
      <c r="A426" s="3" t="str">
        <f>HYPERLINK("https://hpr-rps.hres.ca/reg-content/summary-basis-decision-detailTwo.php?lang=en&amp;linkID=SBD00434", "Vonvendi")</f>
        <v>Vonvendi</v>
      </c>
      <c r="B426" s="1" t="s">
        <v>1110</v>
      </c>
      <c r="C426" s="1" t="s">
        <v>988</v>
      </c>
      <c r="D426" s="1" t="s">
        <v>1111</v>
      </c>
      <c r="E426" s="1">
        <v>42934.25</v>
      </c>
      <c r="F426" s="1"/>
      <c r="G426" s="1"/>
      <c r="H426" s="1">
        <v>43126.25</v>
      </c>
      <c r="I426" s="1"/>
      <c r="J426" s="1"/>
      <c r="K426" s="1"/>
      <c r="L426" s="1"/>
      <c r="M426" s="1"/>
      <c r="N426" s="1"/>
      <c r="O426" s="1"/>
      <c r="P426" s="1"/>
      <c r="Q426" s="1"/>
      <c r="R426" s="1"/>
      <c r="S426" s="1"/>
      <c r="T426" s="1"/>
      <c r="U426" s="1"/>
      <c r="V426" s="1"/>
      <c r="W426" s="1"/>
      <c r="X426" s="1"/>
      <c r="Y426" s="1"/>
      <c r="Z426" s="1"/>
      <c r="AA426" s="1"/>
      <c r="AB426" s="1"/>
      <c r="AC426" s="1"/>
      <c r="AD426" s="1"/>
      <c r="AE426" s="1"/>
      <c r="AF426" s="1">
        <v>43175.208333333343</v>
      </c>
      <c r="AG426" s="1"/>
      <c r="AH426" s="1"/>
      <c r="AI426" s="1"/>
      <c r="AJ426" s="1"/>
      <c r="AK426" s="1"/>
      <c r="AL426" s="1"/>
      <c r="AM426" s="1"/>
      <c r="AN426" s="1"/>
      <c r="AO426" s="1"/>
      <c r="AP426" s="1"/>
      <c r="AQ426" s="1">
        <v>43411.25</v>
      </c>
      <c r="AR426" s="1">
        <v>43280.25</v>
      </c>
      <c r="AS426" s="1"/>
      <c r="AT426" s="1"/>
      <c r="AU426" s="1">
        <v>43455.25</v>
      </c>
      <c r="AV426" s="1">
        <v>43454.25</v>
      </c>
      <c r="AW426" s="1"/>
      <c r="AX426" s="1"/>
      <c r="AY426" s="1"/>
      <c r="AZ426" s="1"/>
      <c r="BA426" s="1"/>
      <c r="BB426" s="1"/>
      <c r="BC426" s="1"/>
      <c r="BD426" s="1"/>
      <c r="BE426" s="1"/>
      <c r="BF426" s="1"/>
      <c r="BG426" s="1"/>
      <c r="BH426" s="1"/>
      <c r="BI426" s="1"/>
      <c r="BJ426" s="1"/>
      <c r="BK426" s="1"/>
      <c r="BL426" s="1"/>
      <c r="BM426" s="1">
        <v>43475.25</v>
      </c>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row>
    <row r="427" spans="1:216" x14ac:dyDescent="0.3">
      <c r="A427" s="3" t="str">
        <f>HYPERLINK("https://hpr-rps.hres.ca/reg-content/summary-basis-decision-detailTwo.php?lang=en&amp;linkID=SBD00436", "Demylocan")</f>
        <v>Demylocan</v>
      </c>
      <c r="B427" s="1" t="s">
        <v>1112</v>
      </c>
      <c r="C427" s="1" t="s">
        <v>1113</v>
      </c>
      <c r="D427" s="1" t="s">
        <v>1114</v>
      </c>
      <c r="E427" s="1"/>
      <c r="F427" s="1"/>
      <c r="G427" s="1"/>
      <c r="H427" s="1">
        <v>43090.25</v>
      </c>
      <c r="I427" s="1"/>
      <c r="J427" s="1"/>
      <c r="K427" s="1"/>
      <c r="L427" s="1"/>
      <c r="M427" s="1"/>
      <c r="N427" s="1"/>
      <c r="O427" s="1"/>
      <c r="P427" s="1"/>
      <c r="Q427" s="1"/>
      <c r="R427" s="1"/>
      <c r="S427" s="1"/>
      <c r="T427" s="1"/>
      <c r="U427" s="1"/>
      <c r="V427" s="1"/>
      <c r="W427" s="1"/>
      <c r="X427" s="1"/>
      <c r="Y427" s="1"/>
      <c r="Z427" s="1">
        <v>43140.25</v>
      </c>
      <c r="AA427" s="1"/>
      <c r="AB427" s="1"/>
      <c r="AC427" s="1">
        <v>43146.25</v>
      </c>
      <c r="AD427" s="1"/>
      <c r="AE427" s="1"/>
      <c r="AF427" s="1">
        <v>43186.25</v>
      </c>
      <c r="AG427" s="1"/>
      <c r="AH427" s="1"/>
      <c r="AI427" s="1"/>
      <c r="AJ427" s="1"/>
      <c r="AK427" s="1"/>
      <c r="AL427" s="1"/>
      <c r="AM427" s="1"/>
      <c r="AN427" s="1"/>
      <c r="AO427" s="1"/>
      <c r="AP427" s="1"/>
      <c r="AQ427" s="1">
        <v>43439.25</v>
      </c>
      <c r="AR427" s="1">
        <v>43455.25</v>
      </c>
      <c r="AS427" s="1"/>
      <c r="AT427" s="1"/>
      <c r="AU427" s="1">
        <v>43482.25</v>
      </c>
      <c r="AV427" s="1">
        <v>43480.25</v>
      </c>
      <c r="AW427" s="1"/>
      <c r="AX427" s="1"/>
      <c r="AY427" s="1"/>
      <c r="AZ427" s="1"/>
      <c r="BA427" s="1"/>
      <c r="BB427" s="1"/>
      <c r="BC427" s="1"/>
      <c r="BD427" s="1"/>
      <c r="BE427" s="1"/>
      <c r="BF427" s="1"/>
      <c r="BG427" s="1"/>
      <c r="BH427" s="1"/>
      <c r="BI427" s="1"/>
      <c r="BJ427" s="1"/>
      <c r="BK427" s="1"/>
      <c r="BL427" s="1"/>
      <c r="BM427" s="1">
        <v>43486.25</v>
      </c>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row>
    <row r="428" spans="1:216" x14ac:dyDescent="0.3">
      <c r="A428" s="3" t="str">
        <f>HYPERLINK("https://hpr-rps.hres.ca/reg-content/summary-basis-decision-detailTwo.php?lang=en&amp;linkID=SBD00437", "Onstryv")</f>
        <v>Onstryv</v>
      </c>
      <c r="B428" s="1" t="s">
        <v>1115</v>
      </c>
      <c r="C428" s="1" t="s">
        <v>1116</v>
      </c>
      <c r="D428" s="1" t="s">
        <v>1117</v>
      </c>
      <c r="E428" s="1">
        <v>40800.25</v>
      </c>
      <c r="F428" s="1"/>
      <c r="G428" s="1"/>
      <c r="H428" s="1">
        <v>43047.25</v>
      </c>
      <c r="I428" s="1"/>
      <c r="J428" s="1"/>
      <c r="K428" s="1"/>
      <c r="L428" s="1"/>
      <c r="M428" s="1"/>
      <c r="N428" s="1"/>
      <c r="O428" s="1"/>
      <c r="P428" s="1"/>
      <c r="Q428" s="1"/>
      <c r="R428" s="1"/>
      <c r="S428" s="1"/>
      <c r="T428" s="1"/>
      <c r="U428" s="1"/>
      <c r="V428" s="1"/>
      <c r="W428" s="1"/>
      <c r="X428" s="1"/>
      <c r="Y428" s="1"/>
      <c r="Z428" s="1">
        <v>43089.25</v>
      </c>
      <c r="AA428" s="1"/>
      <c r="AB428" s="1"/>
      <c r="AC428" s="1">
        <v>43129.25</v>
      </c>
      <c r="AD428" s="1"/>
      <c r="AE428" s="1"/>
      <c r="AF428" s="1">
        <v>43175.208333333343</v>
      </c>
      <c r="AG428" s="1"/>
      <c r="AH428" s="1"/>
      <c r="AI428" s="1"/>
      <c r="AJ428" s="1"/>
      <c r="AK428" s="1"/>
      <c r="AL428" s="1"/>
      <c r="AM428" s="1"/>
      <c r="AN428" s="1"/>
      <c r="AO428" s="1"/>
      <c r="AP428" s="1"/>
      <c r="AQ428" s="1">
        <v>43360.25</v>
      </c>
      <c r="AR428" s="1">
        <v>43474.25</v>
      </c>
      <c r="AS428" s="1">
        <v>43453.25</v>
      </c>
      <c r="AT428" s="1"/>
      <c r="AU428" s="1">
        <v>43474.25</v>
      </c>
      <c r="AV428" s="1">
        <v>43473.25</v>
      </c>
      <c r="AW428" s="1"/>
      <c r="AX428" s="1"/>
      <c r="AY428" s="1"/>
      <c r="AZ428" s="1"/>
      <c r="BA428" s="1"/>
      <c r="BB428" s="1"/>
      <c r="BC428" s="1"/>
      <c r="BD428" s="1"/>
      <c r="BE428" s="1"/>
      <c r="BF428" s="1"/>
      <c r="BG428" s="1"/>
      <c r="BH428" s="1"/>
      <c r="BI428" s="1"/>
      <c r="BJ428" s="1"/>
      <c r="BK428" s="1"/>
      <c r="BL428" s="1"/>
      <c r="BM428" s="1">
        <v>43475.25</v>
      </c>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row>
    <row r="429" spans="1:216" x14ac:dyDescent="0.3">
      <c r="A429" s="3" t="str">
        <f>HYPERLINK("https://hpr-rps.hres.ca/reg-content/summary-basis-decision-detailTwo.php?lang=en&amp;linkID=SBD00439", "Oxervate")</f>
        <v>Oxervate</v>
      </c>
      <c r="B429" s="1" t="s">
        <v>1118</v>
      </c>
      <c r="C429" s="1" t="s">
        <v>1119</v>
      </c>
      <c r="D429" s="1" t="s">
        <v>1120</v>
      </c>
      <c r="E429" s="1">
        <v>43126.25</v>
      </c>
      <c r="F429" s="1"/>
      <c r="G429" s="1"/>
      <c r="H429" s="1"/>
      <c r="I429" s="1"/>
      <c r="J429" s="1"/>
      <c r="K429" s="1"/>
      <c r="L429" s="1"/>
      <c r="M429" s="1"/>
      <c r="N429" s="1">
        <v>43228.25</v>
      </c>
      <c r="O429" s="1"/>
      <c r="P429" s="1"/>
      <c r="Q429" s="1"/>
      <c r="R429" s="1"/>
      <c r="S429" s="1">
        <v>43235.25</v>
      </c>
      <c r="T429" s="1"/>
      <c r="U429" s="1"/>
      <c r="V429" s="1">
        <v>43297.25</v>
      </c>
      <c r="W429" s="1"/>
      <c r="X429" s="1"/>
      <c r="Y429" s="1"/>
      <c r="Z429" s="1"/>
      <c r="AA429" s="1"/>
      <c r="AB429" s="1"/>
      <c r="AC429" s="1"/>
      <c r="AD429" s="1"/>
      <c r="AE429" s="1"/>
      <c r="AF429" s="1">
        <v>43326.25</v>
      </c>
      <c r="AG429" s="1"/>
      <c r="AH429" s="1"/>
      <c r="AI429" s="1"/>
      <c r="AJ429" s="1"/>
      <c r="AK429" s="1"/>
      <c r="AL429" s="1"/>
      <c r="AM429" s="1"/>
      <c r="AN429" s="1"/>
      <c r="AO429" s="1"/>
      <c r="AP429" s="1"/>
      <c r="AQ429" s="1">
        <v>43458.25</v>
      </c>
      <c r="AR429" s="1">
        <v>43504.25</v>
      </c>
      <c r="AS429" s="1"/>
      <c r="AT429" s="1"/>
      <c r="AU429" s="1">
        <v>43502.25</v>
      </c>
      <c r="AV429" s="1">
        <v>43489.25</v>
      </c>
      <c r="AW429" s="1"/>
      <c r="AX429" s="1"/>
      <c r="AY429" s="1"/>
      <c r="AZ429" s="1"/>
      <c r="BA429" s="1"/>
      <c r="BB429" s="1"/>
      <c r="BC429" s="1"/>
      <c r="BD429" s="1"/>
      <c r="BE429" s="1"/>
      <c r="BF429" s="1"/>
      <c r="BG429" s="1"/>
      <c r="BH429" s="1"/>
      <c r="BI429" s="1"/>
      <c r="BJ429" s="1"/>
      <c r="BK429" s="1"/>
      <c r="BL429" s="1"/>
      <c r="BM429" s="1">
        <v>43504.25</v>
      </c>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row>
    <row r="430" spans="1:216" x14ac:dyDescent="0.3">
      <c r="A430" s="3" t="str">
        <f>HYPERLINK("https://hpr-rps.hres.ca/reg-content/summary-basis-decision-detailTwo.php?lang=en&amp;linkID=SBD00440", "Truxima")</f>
        <v>Truxima</v>
      </c>
      <c r="B430" s="1" t="s">
        <v>1121</v>
      </c>
      <c r="C430" s="1" t="s">
        <v>699</v>
      </c>
      <c r="D430" s="1" t="s">
        <v>1122</v>
      </c>
      <c r="E430" s="1">
        <v>42794.25</v>
      </c>
      <c r="F430" s="1"/>
      <c r="G430" s="1"/>
      <c r="H430" s="1">
        <v>42951.25</v>
      </c>
      <c r="I430" s="1"/>
      <c r="J430" s="1"/>
      <c r="K430" s="1"/>
      <c r="L430" s="1"/>
      <c r="M430" s="1"/>
      <c r="N430" s="1"/>
      <c r="O430" s="1"/>
      <c r="P430" s="1"/>
      <c r="Q430" s="1"/>
      <c r="R430" s="1"/>
      <c r="S430" s="1"/>
      <c r="T430" s="1"/>
      <c r="U430" s="1"/>
      <c r="V430" s="1"/>
      <c r="W430" s="1"/>
      <c r="X430" s="1"/>
      <c r="Y430" s="1"/>
      <c r="Z430" s="1"/>
      <c r="AA430" s="1"/>
      <c r="AB430" s="1"/>
      <c r="AC430" s="1"/>
      <c r="AD430" s="1"/>
      <c r="AE430" s="1"/>
      <c r="AF430" s="1">
        <v>42986.25</v>
      </c>
      <c r="AG430" s="1"/>
      <c r="AH430" s="1"/>
      <c r="AI430" s="1"/>
      <c r="AJ430" s="1"/>
      <c r="AK430" s="1"/>
      <c r="AL430" s="1"/>
      <c r="AM430" s="1"/>
      <c r="AN430" s="1"/>
      <c r="AO430" s="1"/>
      <c r="AP430" s="1"/>
      <c r="AQ430" s="1">
        <v>43196.25</v>
      </c>
      <c r="AR430" s="1">
        <v>43285.25</v>
      </c>
      <c r="AS430" s="1"/>
      <c r="AT430" s="1"/>
      <c r="AU430" s="1"/>
      <c r="AV430" s="1">
        <v>43230.25</v>
      </c>
      <c r="AW430" s="1"/>
      <c r="AX430" s="1"/>
      <c r="AY430" s="1"/>
      <c r="AZ430" s="1">
        <v>43285.25</v>
      </c>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row>
    <row r="431" spans="1:216" x14ac:dyDescent="0.3">
      <c r="A431" s="3" t="str">
        <f>HYPERLINK("https://hpr-rps.hres.ca/reg-content/summary-basis-decision-detailTwo.php?lang=en&amp;linkID=SBD00441", "Idhifa")</f>
        <v>Idhifa</v>
      </c>
      <c r="B431" s="1" t="s">
        <v>1123</v>
      </c>
      <c r="C431" s="1" t="s">
        <v>665</v>
      </c>
      <c r="D431" s="1" t="s">
        <v>1124</v>
      </c>
      <c r="E431" s="1">
        <v>43147.25</v>
      </c>
      <c r="F431" s="1"/>
      <c r="G431" s="1"/>
      <c r="H431" s="1"/>
      <c r="I431" s="1"/>
      <c r="J431" s="1"/>
      <c r="K431" s="1"/>
      <c r="L431" s="1"/>
      <c r="M431" s="1"/>
      <c r="N431" s="1">
        <v>43171.208333333343</v>
      </c>
      <c r="O431" s="1"/>
      <c r="P431" s="1"/>
      <c r="Q431" s="1"/>
      <c r="R431" s="1"/>
      <c r="S431" s="1">
        <v>43196.25</v>
      </c>
      <c r="T431" s="1"/>
      <c r="U431" s="1"/>
      <c r="V431" s="1">
        <v>43266.25</v>
      </c>
      <c r="W431" s="1"/>
      <c r="X431" s="1"/>
      <c r="Y431" s="1"/>
      <c r="Z431" s="1"/>
      <c r="AA431" s="1"/>
      <c r="AB431" s="1"/>
      <c r="AC431" s="1"/>
      <c r="AD431" s="1"/>
      <c r="AE431" s="1"/>
      <c r="AF431" s="1">
        <v>43294.25</v>
      </c>
      <c r="AG431" s="1"/>
      <c r="AH431" s="1"/>
      <c r="AI431" s="1"/>
      <c r="AJ431" s="1"/>
      <c r="AK431" s="1"/>
      <c r="AL431" s="1"/>
      <c r="AM431" s="1"/>
      <c r="AN431" s="1"/>
      <c r="AO431" s="1"/>
      <c r="AP431" s="1"/>
      <c r="AQ431" s="1">
        <v>43452.25</v>
      </c>
      <c r="AR431" s="1">
        <v>43467.25</v>
      </c>
      <c r="AS431" s="1">
        <v>43417.25</v>
      </c>
      <c r="AT431" s="1"/>
      <c r="AU431" s="1"/>
      <c r="AV431" s="1">
        <v>43465.25</v>
      </c>
      <c r="AW431" s="1"/>
      <c r="AX431" s="1">
        <v>43398.25</v>
      </c>
      <c r="AY431" s="1"/>
      <c r="AZ431" s="1"/>
      <c r="BA431" s="1"/>
      <c r="BB431" s="1"/>
      <c r="BC431" s="1"/>
      <c r="BD431" s="1"/>
      <c r="BE431" s="1"/>
      <c r="BF431" s="1"/>
      <c r="BG431" s="1"/>
      <c r="BH431" s="1"/>
      <c r="BI431" s="1"/>
      <c r="BJ431" s="1"/>
      <c r="BK431" s="1">
        <v>43473.25</v>
      </c>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v>43501.25</v>
      </c>
      <c r="CQ431" s="1"/>
      <c r="CR431" s="1"/>
      <c r="CS431" s="1"/>
      <c r="CT431" s="1"/>
      <c r="CU431" s="1"/>
      <c r="CV431" s="1"/>
      <c r="CW431" s="1"/>
      <c r="CX431" s="1"/>
      <c r="CY431" s="1"/>
      <c r="CZ431" s="1"/>
      <c r="DA431" s="1"/>
      <c r="DB431" s="1"/>
      <c r="DC431" s="1"/>
      <c r="DD431" s="1"/>
      <c r="DE431" s="1"/>
      <c r="DF431" s="1"/>
      <c r="DG431" s="1">
        <v>43502.25</v>
      </c>
      <c r="DH431" s="1"/>
      <c r="DI431" s="1"/>
      <c r="DJ431" s="1"/>
      <c r="DK431" s="1"/>
      <c r="DL431" s="1"/>
      <c r="DM431" s="1"/>
      <c r="DN431" s="1"/>
      <c r="DO431" s="1"/>
      <c r="DP431" s="1"/>
      <c r="DQ431" s="1"/>
      <c r="DR431" s="1"/>
      <c r="DS431" s="1"/>
      <c r="DT431" s="1">
        <v>43475.25</v>
      </c>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row>
    <row r="432" spans="1:216" x14ac:dyDescent="0.3">
      <c r="A432" s="3" t="str">
        <f>HYPERLINK("https://hpr-rps.hres.ca/reg-content/summary-basis-decision-detailTwo.php?lang=en&amp;linkID=SBD00442", "Yescarta")</f>
        <v>Yescarta</v>
      </c>
      <c r="B432" s="1" t="s">
        <v>1125</v>
      </c>
      <c r="C432" s="1" t="s">
        <v>134</v>
      </c>
      <c r="D432" s="1" t="s">
        <v>1126</v>
      </c>
      <c r="E432" s="1">
        <v>42894.25</v>
      </c>
      <c r="F432" s="1"/>
      <c r="G432" s="1"/>
      <c r="H432" s="1"/>
      <c r="I432" s="1"/>
      <c r="J432" s="1"/>
      <c r="K432" s="1"/>
      <c r="L432" s="1"/>
      <c r="M432" s="1"/>
      <c r="N432" s="1">
        <v>43238.25</v>
      </c>
      <c r="O432" s="1"/>
      <c r="P432" s="1"/>
      <c r="Q432" s="1"/>
      <c r="R432" s="1"/>
      <c r="S432" s="1">
        <v>43270.25</v>
      </c>
      <c r="T432" s="1"/>
      <c r="U432" s="1"/>
      <c r="V432" s="1">
        <v>43300.25</v>
      </c>
      <c r="W432" s="1"/>
      <c r="X432" s="1"/>
      <c r="Y432" s="1"/>
      <c r="Z432" s="1"/>
      <c r="AA432" s="1"/>
      <c r="AB432" s="1"/>
      <c r="AC432" s="1"/>
      <c r="AD432" s="1"/>
      <c r="AE432" s="1"/>
      <c r="AF432" s="1">
        <v>43329.25</v>
      </c>
      <c r="AG432" s="1"/>
      <c r="AH432" s="1"/>
      <c r="AI432" s="1"/>
      <c r="AJ432" s="1"/>
      <c r="AK432" s="1"/>
      <c r="AL432" s="1"/>
      <c r="AM432" s="1"/>
      <c r="AN432" s="1"/>
      <c r="AO432" s="1">
        <v>43437.25</v>
      </c>
      <c r="AP432" s="1"/>
      <c r="AQ432" s="1">
        <v>43445.25</v>
      </c>
      <c r="AR432" s="1">
        <v>43508.25</v>
      </c>
      <c r="AS432" s="1"/>
      <c r="AT432" s="1"/>
      <c r="AU432" s="1">
        <v>43503.25</v>
      </c>
      <c r="AV432" s="1">
        <v>43503.25</v>
      </c>
      <c r="AW432" s="1"/>
      <c r="AX432" s="1">
        <v>43508.25</v>
      </c>
      <c r="AY432" s="1"/>
      <c r="AZ432" s="1"/>
      <c r="BA432" s="1"/>
      <c r="BB432" s="1"/>
      <c r="BC432" s="1"/>
      <c r="BD432" s="1"/>
      <c r="BE432" s="1"/>
      <c r="BF432" s="1"/>
      <c r="BG432" s="1"/>
      <c r="BH432" s="1"/>
      <c r="BI432" s="1"/>
      <c r="BJ432" s="1"/>
      <c r="BK432" s="1"/>
      <c r="BL432" s="1"/>
      <c r="BM432" s="1">
        <v>43509.25</v>
      </c>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row>
    <row r="433" spans="1:216" x14ac:dyDescent="0.3">
      <c r="A433" s="3" t="str">
        <f>HYPERLINK("https://hpr-rps.hres.ca/reg-content/summary-basis-decision-detailTwo.php?lang=en&amp;linkID=SBD00443", "Libtayo")</f>
        <v>Libtayo</v>
      </c>
      <c r="B433" s="1" t="s">
        <v>1127</v>
      </c>
      <c r="C433" s="1" t="s">
        <v>942</v>
      </c>
      <c r="D433" s="1" t="s">
        <v>1128</v>
      </c>
      <c r="E433" s="1">
        <v>43209.25</v>
      </c>
      <c r="F433" s="1">
        <v>43279.25</v>
      </c>
      <c r="G433" s="1">
        <v>43306.25</v>
      </c>
      <c r="H433" s="1">
        <v>43308.25</v>
      </c>
      <c r="I433" s="1"/>
      <c r="J433" s="1"/>
      <c r="K433" s="1"/>
      <c r="L433" s="1"/>
      <c r="M433" s="1"/>
      <c r="N433" s="1"/>
      <c r="O433" s="1"/>
      <c r="P433" s="1"/>
      <c r="Q433" s="1"/>
      <c r="R433" s="1"/>
      <c r="S433" s="1"/>
      <c r="T433" s="1"/>
      <c r="U433" s="1"/>
      <c r="V433" s="1"/>
      <c r="W433" s="1"/>
      <c r="X433" s="1"/>
      <c r="Y433" s="1"/>
      <c r="Z433" s="1"/>
      <c r="AA433" s="1"/>
      <c r="AB433" s="1"/>
      <c r="AC433" s="1"/>
      <c r="AD433" s="1"/>
      <c r="AE433" s="1"/>
      <c r="AF433" s="1">
        <v>43701.25</v>
      </c>
      <c r="AG433" s="1"/>
      <c r="AH433" s="1"/>
      <c r="AI433" s="1"/>
      <c r="AJ433" s="1"/>
      <c r="AK433" s="1"/>
      <c r="AL433" s="1"/>
      <c r="AM433" s="1"/>
      <c r="AN433" s="1"/>
      <c r="AO433" s="1"/>
      <c r="AP433" s="1"/>
      <c r="AQ433" s="1">
        <v>43461.25</v>
      </c>
      <c r="AR433" s="1">
        <v>43536.208333333343</v>
      </c>
      <c r="AS433" s="1"/>
      <c r="AT433" s="1"/>
      <c r="AU433" s="1">
        <v>43535.208333333343</v>
      </c>
      <c r="AV433" s="1">
        <v>43531.25</v>
      </c>
      <c r="AW433" s="1"/>
      <c r="AX433" s="1"/>
      <c r="AY433" s="1"/>
      <c r="AZ433" s="1"/>
      <c r="BA433" s="1"/>
      <c r="BB433" s="1"/>
      <c r="BC433" s="1"/>
      <c r="BD433" s="1"/>
      <c r="BE433" s="1"/>
      <c r="BF433" s="1"/>
      <c r="BG433" s="1"/>
      <c r="BH433" s="1"/>
      <c r="BI433" s="1"/>
      <c r="BJ433" s="1"/>
      <c r="BK433" s="1">
        <v>43536.208333333343</v>
      </c>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v>43563.25</v>
      </c>
      <c r="CQ433" s="1"/>
      <c r="CR433" s="1"/>
      <c r="CS433" s="1"/>
      <c r="CT433" s="1"/>
      <c r="CU433" s="1"/>
      <c r="CV433" s="1"/>
      <c r="CW433" s="1"/>
      <c r="CX433" s="1"/>
      <c r="CY433" s="1"/>
      <c r="CZ433" s="1"/>
      <c r="DA433" s="1"/>
      <c r="DB433" s="1"/>
      <c r="DC433" s="1"/>
      <c r="DD433" s="1"/>
      <c r="DE433" s="1"/>
      <c r="DF433" s="1"/>
      <c r="DG433" s="1">
        <v>43565.25</v>
      </c>
      <c r="DH433" s="1"/>
      <c r="DI433" s="1"/>
      <c r="DJ433" s="1"/>
      <c r="DK433" s="1"/>
      <c r="DL433" s="1"/>
      <c r="DM433" s="1"/>
      <c r="DN433" s="1"/>
      <c r="DO433" s="1"/>
      <c r="DP433" s="1"/>
      <c r="DQ433" s="1"/>
      <c r="DR433" s="1"/>
      <c r="DS433" s="1"/>
      <c r="DT433" s="1">
        <v>43538.208333333343</v>
      </c>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row>
    <row r="434" spans="1:216" x14ac:dyDescent="0.3">
      <c r="A434" s="3" t="str">
        <f>HYPERLINK("https://hpr-rps.hres.ca/reg-content/summary-basis-decision-detailTwo.php?lang=en&amp;linkID=SBD00444", "Skyrizi")</f>
        <v>Skyrizi</v>
      </c>
      <c r="B434" s="1" t="s">
        <v>1129</v>
      </c>
      <c r="C434" s="1" t="s">
        <v>694</v>
      </c>
      <c r="D434" s="1" t="s">
        <v>1130</v>
      </c>
      <c r="E434" s="1">
        <v>43124.25</v>
      </c>
      <c r="F434" s="1"/>
      <c r="G434" s="1"/>
      <c r="H434" s="1">
        <v>43221.25</v>
      </c>
      <c r="I434" s="1"/>
      <c r="J434" s="1"/>
      <c r="K434" s="1"/>
      <c r="L434" s="1"/>
      <c r="M434" s="1"/>
      <c r="N434" s="1"/>
      <c r="O434" s="1"/>
      <c r="P434" s="1"/>
      <c r="Q434" s="1"/>
      <c r="R434" s="1"/>
      <c r="S434" s="1"/>
      <c r="T434" s="1"/>
      <c r="U434" s="1"/>
      <c r="V434" s="1"/>
      <c r="W434" s="1"/>
      <c r="X434" s="1"/>
      <c r="Y434" s="1"/>
      <c r="Z434" s="1"/>
      <c r="AA434" s="1"/>
      <c r="AB434" s="1"/>
      <c r="AC434" s="1"/>
      <c r="AD434" s="1"/>
      <c r="AE434" s="1"/>
      <c r="AF434" s="1">
        <v>43272.25</v>
      </c>
      <c r="AG434" s="1"/>
      <c r="AH434" s="1"/>
      <c r="AI434" s="1"/>
      <c r="AJ434" s="1"/>
      <c r="AK434" s="1"/>
      <c r="AL434" s="1"/>
      <c r="AM434" s="1"/>
      <c r="AN434" s="1"/>
      <c r="AO434" s="1">
        <v>43479.25</v>
      </c>
      <c r="AP434" s="1"/>
      <c r="AQ434" s="1">
        <v>43508.25</v>
      </c>
      <c r="AR434" s="1">
        <v>43570.25</v>
      </c>
      <c r="AS434" s="1"/>
      <c r="AT434" s="1"/>
      <c r="AU434" s="1">
        <v>43564.25</v>
      </c>
      <c r="AV434" s="1">
        <v>43567.25</v>
      </c>
      <c r="AW434" s="1"/>
      <c r="AX434" s="1">
        <v>43571.25</v>
      </c>
      <c r="AY434" s="1"/>
      <c r="AZ434" s="1"/>
      <c r="BA434" s="1"/>
      <c r="BB434" s="1"/>
      <c r="BC434" s="1"/>
      <c r="BD434" s="1"/>
      <c r="BE434" s="1"/>
      <c r="BF434" s="1"/>
      <c r="BG434" s="1"/>
      <c r="BH434" s="1"/>
      <c r="BI434" s="1"/>
      <c r="BJ434" s="1"/>
      <c r="BK434" s="1"/>
      <c r="BL434" s="1"/>
      <c r="BM434" s="1">
        <v>43572.25</v>
      </c>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row>
    <row r="435" spans="1:216" x14ac:dyDescent="0.3">
      <c r="A435" s="3" t="str">
        <f>HYPERLINK("https://hpr-rps.hres.ca/reg-content/summary-basis-decision-detailTwo.php?lang=en&amp;linkID=SBD00445", "Verzenio")</f>
        <v>Verzenio</v>
      </c>
      <c r="B435" s="1" t="s">
        <v>1131</v>
      </c>
      <c r="C435" s="1" t="s">
        <v>140</v>
      </c>
      <c r="D435" s="1" t="s">
        <v>1132</v>
      </c>
      <c r="E435" s="1">
        <v>42970.25</v>
      </c>
      <c r="F435" s="1"/>
      <c r="G435" s="1"/>
      <c r="H435" s="1">
        <v>43196.25</v>
      </c>
      <c r="I435" s="1"/>
      <c r="J435" s="1"/>
      <c r="K435" s="1"/>
      <c r="L435" s="1"/>
      <c r="M435" s="1"/>
      <c r="N435" s="1"/>
      <c r="O435" s="1"/>
      <c r="P435" s="1"/>
      <c r="Q435" s="1"/>
      <c r="R435" s="1"/>
      <c r="S435" s="1"/>
      <c r="T435" s="1"/>
      <c r="U435" s="1"/>
      <c r="V435" s="1"/>
      <c r="W435" s="1"/>
      <c r="X435" s="1"/>
      <c r="Y435" s="1"/>
      <c r="Z435" s="1">
        <v>43252.25</v>
      </c>
      <c r="AA435" s="1"/>
      <c r="AB435" s="1"/>
      <c r="AC435" s="1">
        <v>43256.25</v>
      </c>
      <c r="AD435" s="1"/>
      <c r="AE435" s="1"/>
      <c r="AF435" s="1">
        <v>43258.25</v>
      </c>
      <c r="AG435" s="1"/>
      <c r="AH435" s="1"/>
      <c r="AI435" s="1"/>
      <c r="AJ435" s="1"/>
      <c r="AK435" s="1"/>
      <c r="AL435" s="1"/>
      <c r="AM435" s="1"/>
      <c r="AN435" s="1"/>
      <c r="AO435" s="1"/>
      <c r="AP435" s="1"/>
      <c r="AQ435" s="1">
        <v>43509.25</v>
      </c>
      <c r="AR435" s="1">
        <v>43537.208333333343</v>
      </c>
      <c r="AS435" s="1"/>
      <c r="AT435" s="1"/>
      <c r="AU435" s="1">
        <v>43560.25</v>
      </c>
      <c r="AV435" s="1">
        <v>43552.208333333343</v>
      </c>
      <c r="AW435" s="1"/>
      <c r="AX435" s="1"/>
      <c r="AY435" s="1"/>
      <c r="AZ435" s="1"/>
      <c r="BA435" s="1"/>
      <c r="BB435" s="1"/>
      <c r="BC435" s="1"/>
      <c r="BD435" s="1"/>
      <c r="BE435" s="1"/>
      <c r="BF435" s="1"/>
      <c r="BG435" s="1"/>
      <c r="BH435" s="1"/>
      <c r="BI435" s="1"/>
      <c r="BJ435" s="1"/>
      <c r="BK435" s="1"/>
      <c r="BL435" s="1"/>
      <c r="BM435" s="1">
        <v>43560.25</v>
      </c>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row>
    <row r="436" spans="1:216" x14ac:dyDescent="0.3">
      <c r="A436" s="3" t="str">
        <f>HYPERLINK("https://hpr-rps.hres.ca/reg-content/summary-basis-decision-detailTwo.php?lang=en&amp;linkID=SBD00446", "Onpattro")</f>
        <v>Onpattro</v>
      </c>
      <c r="B436" s="1" t="s">
        <v>1133</v>
      </c>
      <c r="C436" s="1" t="s">
        <v>1134</v>
      </c>
      <c r="D436" s="1" t="s">
        <v>1135</v>
      </c>
      <c r="E436" s="1">
        <v>43305.25</v>
      </c>
      <c r="F436" s="1"/>
      <c r="G436" s="1"/>
      <c r="H436" s="1"/>
      <c r="I436" s="1"/>
      <c r="J436" s="1"/>
      <c r="K436" s="1"/>
      <c r="L436" s="1"/>
      <c r="M436" s="1"/>
      <c r="N436" s="1">
        <v>43335.25</v>
      </c>
      <c r="O436" s="1"/>
      <c r="P436" s="1"/>
      <c r="Q436" s="1"/>
      <c r="R436" s="1"/>
      <c r="S436" s="1">
        <v>43364.25</v>
      </c>
      <c r="T436" s="1"/>
      <c r="U436" s="1"/>
      <c r="V436" s="1">
        <v>43418.25</v>
      </c>
      <c r="W436" s="1"/>
      <c r="X436" s="1"/>
      <c r="Y436" s="1"/>
      <c r="Z436" s="1"/>
      <c r="AA436" s="1"/>
      <c r="AB436" s="1"/>
      <c r="AC436" s="1"/>
      <c r="AD436" s="1"/>
      <c r="AE436" s="1"/>
      <c r="AF436" s="1">
        <v>43445.25</v>
      </c>
      <c r="AG436" s="1"/>
      <c r="AH436" s="1"/>
      <c r="AI436" s="1"/>
      <c r="AJ436" s="1"/>
      <c r="AK436" s="1"/>
      <c r="AL436" s="1"/>
      <c r="AM436" s="1"/>
      <c r="AN436" s="1"/>
      <c r="AO436" s="1"/>
      <c r="AP436" s="1"/>
      <c r="AQ436" s="1">
        <v>43620.25</v>
      </c>
      <c r="AR436" s="1">
        <v>43621.25</v>
      </c>
      <c r="AS436" s="1"/>
      <c r="AT436" s="1"/>
      <c r="AU436" s="1">
        <v>43623.25</v>
      </c>
      <c r="AV436" s="1">
        <v>43623.25</v>
      </c>
      <c r="AW436" s="1"/>
      <c r="AX436" s="1"/>
      <c r="AY436" s="1"/>
      <c r="AZ436" s="1"/>
      <c r="BA436" s="1"/>
      <c r="BB436" s="1"/>
      <c r="BC436" s="1"/>
      <c r="BD436" s="1"/>
      <c r="BE436" s="1"/>
      <c r="BF436" s="1"/>
      <c r="BG436" s="1"/>
      <c r="BH436" s="1"/>
      <c r="BI436" s="1"/>
      <c r="BJ436" s="1"/>
      <c r="BK436" s="1"/>
      <c r="BL436" s="1"/>
      <c r="BM436" s="1">
        <v>43623.25</v>
      </c>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row>
    <row r="437" spans="1:216" x14ac:dyDescent="0.3">
      <c r="A437" s="3" t="str">
        <f>HYPERLINK("https://hpr-rps.hres.ca/reg-content/summary-basis-decision-detailTwo.php?lang=en&amp;linkID=SBD00447", "Vizimpro")</f>
        <v>Vizimpro</v>
      </c>
      <c r="B437" s="1" t="s">
        <v>1136</v>
      </c>
      <c r="C437" s="1" t="s">
        <v>1091</v>
      </c>
      <c r="D437" s="1" t="s">
        <v>1137</v>
      </c>
      <c r="E437" s="1">
        <v>42906.25</v>
      </c>
      <c r="F437" s="1"/>
      <c r="G437" s="1"/>
      <c r="H437" s="1">
        <v>43175.208333333343</v>
      </c>
      <c r="I437" s="1"/>
      <c r="J437" s="1"/>
      <c r="K437" s="1"/>
      <c r="L437" s="1"/>
      <c r="M437" s="1"/>
      <c r="N437" s="1"/>
      <c r="O437" s="1"/>
      <c r="P437" s="1"/>
      <c r="Q437" s="1"/>
      <c r="R437" s="1"/>
      <c r="S437" s="1"/>
      <c r="T437" s="1"/>
      <c r="U437" s="1"/>
      <c r="V437" s="1"/>
      <c r="W437" s="1"/>
      <c r="X437" s="1"/>
      <c r="Y437" s="1"/>
      <c r="Z437" s="1"/>
      <c r="AA437" s="1"/>
      <c r="AB437" s="1"/>
      <c r="AC437" s="1"/>
      <c r="AD437" s="1"/>
      <c r="AE437" s="1"/>
      <c r="AF437" s="1">
        <v>43223.25</v>
      </c>
      <c r="AG437" s="1"/>
      <c r="AH437" s="1"/>
      <c r="AI437" s="1"/>
      <c r="AJ437" s="1"/>
      <c r="AK437" s="1"/>
      <c r="AL437" s="1"/>
      <c r="AM437" s="1"/>
      <c r="AN437" s="1"/>
      <c r="AO437" s="1"/>
      <c r="AP437" s="1"/>
      <c r="AQ437" s="1">
        <v>43479.25</v>
      </c>
      <c r="AR437" s="1">
        <v>43517.25</v>
      </c>
      <c r="AS437" s="1">
        <v>43489.25</v>
      </c>
      <c r="AT437" s="1"/>
      <c r="AU437" s="1">
        <v>43517.25</v>
      </c>
      <c r="AV437" s="1">
        <v>43516.25</v>
      </c>
      <c r="AW437" s="1"/>
      <c r="AX437" s="1">
        <v>43503.25</v>
      </c>
      <c r="AY437" s="1"/>
      <c r="AZ437" s="1"/>
      <c r="BA437" s="1"/>
      <c r="BB437" s="1"/>
      <c r="BC437" s="1"/>
      <c r="BD437" s="1"/>
      <c r="BE437" s="1"/>
      <c r="BF437" s="1"/>
      <c r="BG437" s="1"/>
      <c r="BH437" s="1"/>
      <c r="BI437" s="1"/>
      <c r="BJ437" s="1"/>
      <c r="BK437" s="1"/>
      <c r="BL437" s="1"/>
      <c r="BM437" s="1">
        <v>43522.25</v>
      </c>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row>
    <row r="438" spans="1:216" x14ac:dyDescent="0.3">
      <c r="A438" s="3" t="str">
        <f>HYPERLINK("https://hpr-rps.hres.ca/reg-content/summary-basis-decision-detailTwo.php?lang=en&amp;linkID=SBD00448", "Ogivri")</f>
        <v>Ogivri</v>
      </c>
      <c r="B438" s="1" t="s">
        <v>1138</v>
      </c>
      <c r="C438" s="1" t="s">
        <v>1105</v>
      </c>
      <c r="D438" s="1" t="s">
        <v>1139</v>
      </c>
      <c r="E438" s="1">
        <v>42657.25</v>
      </c>
      <c r="F438" s="1"/>
      <c r="G438" s="1"/>
      <c r="H438" s="1">
        <v>42832.25</v>
      </c>
      <c r="I438" s="1"/>
      <c r="J438" s="1"/>
      <c r="K438" s="1"/>
      <c r="L438" s="1"/>
      <c r="M438" s="1"/>
      <c r="N438" s="1"/>
      <c r="O438" s="1"/>
      <c r="P438" s="1"/>
      <c r="Q438" s="1"/>
      <c r="R438" s="1"/>
      <c r="S438" s="1"/>
      <c r="T438" s="1"/>
      <c r="U438" s="1"/>
      <c r="V438" s="1"/>
      <c r="W438" s="1"/>
      <c r="X438" s="1"/>
      <c r="Y438" s="1"/>
      <c r="Z438" s="1"/>
      <c r="AA438" s="1"/>
      <c r="AB438" s="1"/>
      <c r="AC438" s="1"/>
      <c r="AD438" s="1"/>
      <c r="AE438" s="1"/>
      <c r="AF438" s="1">
        <v>42888.25</v>
      </c>
      <c r="AG438" s="1"/>
      <c r="AH438" s="1"/>
      <c r="AI438" s="1"/>
      <c r="AJ438" s="1"/>
      <c r="AK438" s="1"/>
      <c r="AL438" s="1"/>
      <c r="AM438" s="1"/>
      <c r="AN438" s="1"/>
      <c r="AO438" s="1">
        <v>43143.25</v>
      </c>
      <c r="AP438" s="1"/>
      <c r="AQ438" s="1">
        <v>43125.25</v>
      </c>
      <c r="AR438" s="1">
        <v>43186.25</v>
      </c>
      <c r="AS438" s="1"/>
      <c r="AT438" s="1"/>
      <c r="AU438" s="1"/>
      <c r="AV438" s="1">
        <v>43180.208333333343</v>
      </c>
      <c r="AW438" s="1"/>
      <c r="AX438" s="1"/>
      <c r="AY438" s="1"/>
      <c r="AZ438" s="1">
        <v>43177.208333333343</v>
      </c>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row>
    <row r="439" spans="1:216" x14ac:dyDescent="0.3">
      <c r="A439" s="3" t="str">
        <f>HYPERLINK("https://hpr-rps.hres.ca/reg-content/summary-basis-decision-detailTwo.php?lang=en&amp;linkID=SBD00449", "Zirabev")</f>
        <v>Zirabev</v>
      </c>
      <c r="B439" s="1" t="s">
        <v>114</v>
      </c>
      <c r="C439" s="1" t="s">
        <v>1091</v>
      </c>
      <c r="D439" s="1" t="s">
        <v>1140</v>
      </c>
      <c r="E439" s="1">
        <v>42886.25</v>
      </c>
      <c r="F439" s="1"/>
      <c r="G439" s="1"/>
      <c r="H439" s="1">
        <v>43294.25</v>
      </c>
      <c r="I439" s="1"/>
      <c r="J439" s="1"/>
      <c r="K439" s="1"/>
      <c r="L439" s="1"/>
      <c r="M439" s="1"/>
      <c r="N439" s="1"/>
      <c r="O439" s="1"/>
      <c r="P439" s="1"/>
      <c r="Q439" s="1"/>
      <c r="R439" s="1"/>
      <c r="S439" s="1"/>
      <c r="T439" s="1"/>
      <c r="U439" s="1"/>
      <c r="V439" s="1"/>
      <c r="W439" s="1"/>
      <c r="X439" s="1"/>
      <c r="Y439" s="1"/>
      <c r="Z439" s="1"/>
      <c r="AA439" s="1"/>
      <c r="AB439" s="1"/>
      <c r="AC439" s="1"/>
      <c r="AD439" s="1"/>
      <c r="AE439" s="1"/>
      <c r="AF439" s="1">
        <v>43329.25</v>
      </c>
      <c r="AG439" s="1"/>
      <c r="AH439" s="1"/>
      <c r="AI439" s="1"/>
      <c r="AJ439" s="1"/>
      <c r="AK439" s="1"/>
      <c r="AL439" s="1"/>
      <c r="AM439" s="1"/>
      <c r="AN439" s="1"/>
      <c r="AO439" s="1">
        <v>43486.25</v>
      </c>
      <c r="AP439" s="1"/>
      <c r="AQ439" s="1">
        <v>43578.25</v>
      </c>
      <c r="AR439" s="1">
        <v>43628.25</v>
      </c>
      <c r="AS439" s="1"/>
      <c r="AT439" s="1"/>
      <c r="AU439" s="1">
        <v>43626.25</v>
      </c>
      <c r="AV439" s="1">
        <v>43626.25</v>
      </c>
      <c r="AW439" s="1"/>
      <c r="AX439" s="1"/>
      <c r="AY439" s="1"/>
      <c r="AZ439" s="1"/>
      <c r="BA439" s="1"/>
      <c r="BB439" s="1"/>
      <c r="BC439" s="1"/>
      <c r="BD439" s="1"/>
      <c r="BE439" s="1"/>
      <c r="BF439" s="1"/>
      <c r="BG439" s="1"/>
      <c r="BH439" s="1"/>
      <c r="BI439" s="1"/>
      <c r="BJ439" s="1"/>
      <c r="BK439" s="1"/>
      <c r="BL439" s="1"/>
      <c r="BM439" s="1">
        <v>43630.25</v>
      </c>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row>
    <row r="440" spans="1:216" x14ac:dyDescent="0.3">
      <c r="A440" s="3" t="str">
        <f>HYPERLINK("https://hpr-rps.hres.ca/reg-content/summary-basis-decision-detailTwo.php?lang=en&amp;linkID=SBD00450", "Zejula")</f>
        <v>Zejula</v>
      </c>
      <c r="B440" s="1" t="s">
        <v>1141</v>
      </c>
      <c r="C440" s="1" t="s">
        <v>1142</v>
      </c>
      <c r="D440" s="1" t="s">
        <v>1143</v>
      </c>
      <c r="E440" s="1">
        <v>43124.25</v>
      </c>
      <c r="F440" s="1"/>
      <c r="G440" s="1"/>
      <c r="H440" s="1">
        <v>43251.25</v>
      </c>
      <c r="I440" s="1"/>
      <c r="J440" s="1"/>
      <c r="K440" s="1"/>
      <c r="L440" s="1"/>
      <c r="M440" s="1"/>
      <c r="N440" s="1"/>
      <c r="O440" s="1"/>
      <c r="P440" s="1"/>
      <c r="Q440" s="1"/>
      <c r="R440" s="1"/>
      <c r="S440" s="1"/>
      <c r="T440" s="1"/>
      <c r="U440" s="1"/>
      <c r="V440" s="1"/>
      <c r="W440" s="1"/>
      <c r="X440" s="1"/>
      <c r="Y440" s="1"/>
      <c r="Z440" s="1">
        <v>43300.25</v>
      </c>
      <c r="AA440" s="1"/>
      <c r="AB440" s="1"/>
      <c r="AC440" s="1">
        <v>43342.25</v>
      </c>
      <c r="AD440" s="1"/>
      <c r="AE440" s="1"/>
      <c r="AF440" s="1">
        <v>43370.25</v>
      </c>
      <c r="AG440" s="1"/>
      <c r="AH440" s="1"/>
      <c r="AI440" s="1"/>
      <c r="AJ440" s="1"/>
      <c r="AK440" s="1"/>
      <c r="AL440" s="1"/>
      <c r="AM440" s="1"/>
      <c r="AN440" s="1"/>
      <c r="AO440" s="1"/>
      <c r="AP440" s="1"/>
      <c r="AQ440" s="1">
        <v>43573.25</v>
      </c>
      <c r="AR440" s="1">
        <v>43606.25</v>
      </c>
      <c r="AS440" s="1"/>
      <c r="AT440" s="1"/>
      <c r="AU440" s="1">
        <v>43642.25</v>
      </c>
      <c r="AV440" s="1">
        <v>43594.25</v>
      </c>
      <c r="AW440" s="1"/>
      <c r="AX440" s="1">
        <v>43473.25</v>
      </c>
      <c r="AY440" s="1"/>
      <c r="AZ440" s="1"/>
      <c r="BA440" s="1"/>
      <c r="BB440" s="1"/>
      <c r="BC440" s="1"/>
      <c r="BD440" s="1"/>
      <c r="BE440" s="1"/>
      <c r="BF440" s="1"/>
      <c r="BG440" s="1"/>
      <c r="BH440" s="1"/>
      <c r="BI440" s="1"/>
      <c r="BJ440" s="1"/>
      <c r="BK440" s="1"/>
      <c r="BL440" s="1"/>
      <c r="BM440" s="1">
        <v>43643.25</v>
      </c>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row>
    <row r="441" spans="1:216" x14ac:dyDescent="0.3">
      <c r="A441" s="3" t="str">
        <f>HYPERLINK("https://hpr-rps.hres.ca/reg-content/summary-basis-decision-detailTwo.php?lang=en&amp;linkID=SBD00451", "Evenity")</f>
        <v>Evenity</v>
      </c>
      <c r="B441" s="1" t="s">
        <v>1144</v>
      </c>
      <c r="C441" s="1" t="s">
        <v>1145</v>
      </c>
      <c r="D441" s="1" t="s">
        <v>1146</v>
      </c>
      <c r="E441" s="1">
        <v>42542.25</v>
      </c>
      <c r="F441" s="1"/>
      <c r="G441" s="1"/>
      <c r="H441" s="1">
        <v>42600.25</v>
      </c>
      <c r="I441" s="1"/>
      <c r="J441" s="1"/>
      <c r="K441" s="1"/>
      <c r="L441" s="1"/>
      <c r="M441" s="1"/>
      <c r="N441" s="1"/>
      <c r="O441" s="1"/>
      <c r="P441" s="1"/>
      <c r="Q441" s="1"/>
      <c r="R441" s="1"/>
      <c r="S441" s="1"/>
      <c r="T441" s="1"/>
      <c r="U441" s="1"/>
      <c r="V441" s="1"/>
      <c r="W441" s="1"/>
      <c r="X441" s="1"/>
      <c r="Y441" s="1"/>
      <c r="Z441" s="1"/>
      <c r="AA441" s="1"/>
      <c r="AB441" s="1"/>
      <c r="AC441" s="1"/>
      <c r="AD441" s="1"/>
      <c r="AE441" s="1"/>
      <c r="AF441" s="1">
        <v>42650.25</v>
      </c>
      <c r="AG441" s="1"/>
      <c r="AH441" s="1"/>
      <c r="AI441" s="1"/>
      <c r="AJ441" s="1"/>
      <c r="AK441" s="1"/>
      <c r="AL441" s="1"/>
      <c r="AM441" s="1"/>
      <c r="AN441" s="1"/>
      <c r="AO441" s="1">
        <v>42802.25</v>
      </c>
      <c r="AP441" s="1"/>
      <c r="AQ441" s="1">
        <v>42886.25</v>
      </c>
      <c r="AR441" s="1">
        <v>42920.25</v>
      </c>
      <c r="AS441" s="1"/>
      <c r="AT441" s="1"/>
      <c r="AU441" s="1">
        <v>42923.25</v>
      </c>
      <c r="AV441" s="1">
        <v>42922.25</v>
      </c>
      <c r="AW441" s="1"/>
      <c r="AX441" s="1"/>
      <c r="AY441" s="1"/>
      <c r="AZ441" s="1"/>
      <c r="BA441" s="1"/>
      <c r="BB441" s="1"/>
      <c r="BC441" s="1"/>
      <c r="BD441" s="1"/>
      <c r="BE441" s="1"/>
      <c r="BF441" s="1"/>
      <c r="BG441" s="1"/>
      <c r="BH441" s="1"/>
      <c r="BI441" s="1"/>
      <c r="BJ441" s="1"/>
      <c r="BK441" s="1"/>
      <c r="BL441" s="1"/>
      <c r="BM441" s="1"/>
      <c r="BN441" s="1"/>
      <c r="BO441" s="1"/>
      <c r="BP441" s="1">
        <v>42936.25</v>
      </c>
      <c r="BQ441" s="1"/>
      <c r="BR441" s="1"/>
      <c r="BS441" s="1"/>
      <c r="BT441" s="1"/>
      <c r="BU441" s="1"/>
      <c r="BV441" s="1"/>
      <c r="BW441" s="1"/>
      <c r="BX441" s="1"/>
      <c r="BY441" s="1">
        <v>43320.25</v>
      </c>
      <c r="BZ441" s="1"/>
      <c r="CA441" s="1"/>
      <c r="CB441" s="1"/>
      <c r="CC441" s="1"/>
      <c r="CD441" s="1"/>
      <c r="CE441" s="1"/>
      <c r="CF441" s="1"/>
      <c r="CG441" s="1"/>
      <c r="CH441" s="1"/>
      <c r="CI441" s="1"/>
      <c r="CJ441" s="1"/>
      <c r="CK441" s="1"/>
      <c r="CL441" s="1"/>
      <c r="CM441" s="1"/>
      <c r="CN441" s="1"/>
      <c r="CO441" s="1"/>
      <c r="CP441" s="1"/>
      <c r="CQ441" s="1"/>
      <c r="CR441" s="1">
        <v>43333.25</v>
      </c>
      <c r="CS441" s="1"/>
      <c r="CT441" s="1"/>
      <c r="CU441" s="1"/>
      <c r="CV441" s="1"/>
      <c r="CW441" s="1"/>
      <c r="CX441" s="1"/>
      <c r="CY441" s="1"/>
      <c r="CZ441" s="1"/>
      <c r="DA441" s="1"/>
      <c r="DB441" s="1"/>
      <c r="DC441" s="1">
        <v>43487.25</v>
      </c>
      <c r="DD441" s="1">
        <v>43633.25</v>
      </c>
      <c r="DE441" s="1"/>
      <c r="DF441" s="1"/>
      <c r="DG441" s="1">
        <v>43633.25</v>
      </c>
      <c r="DH441" s="1">
        <v>43515.25</v>
      </c>
      <c r="DI441" s="1"/>
      <c r="DJ441" s="1"/>
      <c r="DK441" s="1"/>
      <c r="DL441" s="1"/>
      <c r="DM441" s="1"/>
      <c r="DN441" s="1"/>
      <c r="DO441" s="1"/>
      <c r="DP441" s="1"/>
      <c r="DQ441" s="1"/>
      <c r="DR441" s="1"/>
      <c r="DS441" s="1"/>
      <c r="DT441" s="1"/>
      <c r="DU441" s="1"/>
      <c r="DV441" s="1"/>
      <c r="DW441" s="1"/>
      <c r="DX441" s="1"/>
      <c r="DY441" s="1">
        <v>43633.25</v>
      </c>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row>
    <row r="442" spans="1:216" x14ac:dyDescent="0.3">
      <c r="A442" s="3" t="str">
        <f>HYPERLINK("https://hpr-rps.hres.ca/reg-content/summary-basis-decision-detailTwo.php?lang=en&amp;linkID=SBD00452", "Dacogen")</f>
        <v>Dacogen</v>
      </c>
      <c r="B442" s="1" t="s">
        <v>1112</v>
      </c>
      <c r="C442" s="1" t="s">
        <v>916</v>
      </c>
      <c r="D442" s="1" t="s">
        <v>1147</v>
      </c>
      <c r="E442" s="1">
        <v>43249.25</v>
      </c>
      <c r="F442" s="1"/>
      <c r="G442" s="1"/>
      <c r="H442" s="1">
        <v>43279.25</v>
      </c>
      <c r="I442" s="1"/>
      <c r="J442" s="1"/>
      <c r="K442" s="1"/>
      <c r="L442" s="1"/>
      <c r="M442" s="1"/>
      <c r="N442" s="1"/>
      <c r="O442" s="1"/>
      <c r="P442" s="1"/>
      <c r="Q442" s="1"/>
      <c r="R442" s="1"/>
      <c r="S442" s="1"/>
      <c r="T442" s="1"/>
      <c r="U442" s="1"/>
      <c r="V442" s="1"/>
      <c r="W442" s="1"/>
      <c r="X442" s="1"/>
      <c r="Y442" s="1"/>
      <c r="Z442" s="1">
        <v>43329.25</v>
      </c>
      <c r="AA442" s="1"/>
      <c r="AB442" s="1"/>
      <c r="AC442" s="1">
        <v>43342.25</v>
      </c>
      <c r="AD442" s="1"/>
      <c r="AE442" s="1"/>
      <c r="AF442" s="1">
        <v>43360.25</v>
      </c>
      <c r="AG442" s="1"/>
      <c r="AH442" s="1"/>
      <c r="AI442" s="1"/>
      <c r="AJ442" s="1"/>
      <c r="AK442" s="1"/>
      <c r="AL442" s="1"/>
      <c r="AM442" s="1"/>
      <c r="AN442" s="1"/>
      <c r="AO442" s="1"/>
      <c r="AP442" s="1"/>
      <c r="AQ442" s="1">
        <v>43644.25</v>
      </c>
      <c r="AR442" s="1">
        <v>43654.25</v>
      </c>
      <c r="AS442" s="1"/>
      <c r="AT442" s="1"/>
      <c r="AU442" s="1">
        <v>43655.25</v>
      </c>
      <c r="AV442" s="1">
        <v>43654.25</v>
      </c>
      <c r="AW442" s="1"/>
      <c r="AX442" s="1"/>
      <c r="AY442" s="1"/>
      <c r="AZ442" s="1"/>
      <c r="BA442" s="1"/>
      <c r="BB442" s="1"/>
      <c r="BC442" s="1"/>
      <c r="BD442" s="1"/>
      <c r="BE442" s="1"/>
      <c r="BF442" s="1"/>
      <c r="BG442" s="1"/>
      <c r="BH442" s="1"/>
      <c r="BI442" s="1"/>
      <c r="BJ442" s="1"/>
      <c r="BK442" s="1"/>
      <c r="BL442" s="1"/>
      <c r="BM442" s="1">
        <v>43657.25</v>
      </c>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row>
    <row r="443" spans="1:216" x14ac:dyDescent="0.3">
      <c r="A443" s="3" t="str">
        <f>HYPERLINK("https://hpr-rps.hres.ca/reg-content/summary-basis-decision-detailTwo.php?lang=en&amp;linkID=SBD00453", "Esperoct")</f>
        <v>Esperoct</v>
      </c>
      <c r="B443" s="1" t="s">
        <v>1148</v>
      </c>
      <c r="C443" s="1" t="s">
        <v>298</v>
      </c>
      <c r="D443" s="1" t="s">
        <v>1149</v>
      </c>
      <c r="E443" s="1">
        <v>43223.25</v>
      </c>
      <c r="F443" s="1"/>
      <c r="G443" s="1"/>
      <c r="H443" s="1">
        <v>43304.25</v>
      </c>
      <c r="I443" s="1"/>
      <c r="J443" s="1"/>
      <c r="K443" s="1"/>
      <c r="L443" s="1"/>
      <c r="M443" s="1"/>
      <c r="N443" s="1"/>
      <c r="O443" s="1"/>
      <c r="P443" s="1"/>
      <c r="Q443" s="1"/>
      <c r="R443" s="1"/>
      <c r="S443" s="1"/>
      <c r="T443" s="1"/>
      <c r="U443" s="1"/>
      <c r="V443" s="1"/>
      <c r="W443" s="1"/>
      <c r="X443" s="1"/>
      <c r="Y443" s="1"/>
      <c r="Z443" s="1"/>
      <c r="AA443" s="1"/>
      <c r="AB443" s="1"/>
      <c r="AC443" s="1"/>
      <c r="AD443" s="1"/>
      <c r="AE443" s="1"/>
      <c r="AF443" s="1">
        <v>43350.25</v>
      </c>
      <c r="AG443" s="1"/>
      <c r="AH443" s="1"/>
      <c r="AI443" s="1"/>
      <c r="AJ443" s="1"/>
      <c r="AK443" s="1"/>
      <c r="AL443" s="1"/>
      <c r="AM443" s="1"/>
      <c r="AN443" s="1"/>
      <c r="AO443" s="1">
        <v>43542.208333333343</v>
      </c>
      <c r="AP443" s="1"/>
      <c r="AQ443" s="1">
        <v>43579.25</v>
      </c>
      <c r="AR443" s="1">
        <v>43649.25</v>
      </c>
      <c r="AS443" s="1"/>
      <c r="AT443" s="1"/>
      <c r="AU443" s="1">
        <v>43641.25</v>
      </c>
      <c r="AV443" s="1">
        <v>43644.25</v>
      </c>
      <c r="AW443" s="1"/>
      <c r="AX443" s="1"/>
      <c r="AY443" s="1"/>
      <c r="AZ443" s="1"/>
      <c r="BA443" s="1"/>
      <c r="BB443" s="1"/>
      <c r="BC443" s="1"/>
      <c r="BD443" s="1"/>
      <c r="BE443" s="1"/>
      <c r="BF443" s="1"/>
      <c r="BG443" s="1"/>
      <c r="BH443" s="1"/>
      <c r="BI443" s="1"/>
      <c r="BJ443" s="1"/>
      <c r="BK443" s="1"/>
      <c r="BL443" s="1"/>
      <c r="BM443" s="1">
        <v>43650.25</v>
      </c>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row>
    <row r="444" spans="1:216" x14ac:dyDescent="0.3">
      <c r="A444" s="3" t="str">
        <f>HYPERLINK("https://hpr-rps.hres.ca/reg-content/summary-basis-decision-detailTwo.php?lang=en&amp;linkID=SBD00454", "Emgality")</f>
        <v>Emgality</v>
      </c>
      <c r="B444" s="1" t="s">
        <v>1150</v>
      </c>
      <c r="C444" s="1" t="s">
        <v>140</v>
      </c>
      <c r="D444" s="1" t="s">
        <v>1151</v>
      </c>
      <c r="E444" s="1">
        <v>43245.25</v>
      </c>
      <c r="F444" s="1"/>
      <c r="G444" s="1"/>
      <c r="H444" s="1">
        <v>43333.25</v>
      </c>
      <c r="I444" s="1"/>
      <c r="J444" s="1"/>
      <c r="K444" s="1"/>
      <c r="L444" s="1"/>
      <c r="M444" s="1"/>
      <c r="N444" s="1"/>
      <c r="O444" s="1"/>
      <c r="P444" s="1"/>
      <c r="Q444" s="1"/>
      <c r="R444" s="1"/>
      <c r="S444" s="1"/>
      <c r="T444" s="1"/>
      <c r="U444" s="1"/>
      <c r="V444" s="1"/>
      <c r="W444" s="1"/>
      <c r="X444" s="1"/>
      <c r="Y444" s="1"/>
      <c r="Z444" s="1"/>
      <c r="AA444" s="1"/>
      <c r="AB444" s="1"/>
      <c r="AC444" s="1"/>
      <c r="AD444" s="1"/>
      <c r="AE444" s="1"/>
      <c r="AF444" s="1">
        <v>43378.25</v>
      </c>
      <c r="AG444" s="1"/>
      <c r="AH444" s="1"/>
      <c r="AI444" s="1"/>
      <c r="AJ444" s="1"/>
      <c r="AK444" s="1"/>
      <c r="AL444" s="1"/>
      <c r="AM444" s="1"/>
      <c r="AN444" s="1"/>
      <c r="AO444" s="1"/>
      <c r="AP444" s="1"/>
      <c r="AQ444" s="1">
        <v>43606.25</v>
      </c>
      <c r="AR444" s="1">
        <v>43671.25</v>
      </c>
      <c r="AS444" s="1"/>
      <c r="AT444" s="1"/>
      <c r="AU444" s="1">
        <v>43670.25</v>
      </c>
      <c r="AV444" s="1">
        <v>43672.25</v>
      </c>
      <c r="AW444" s="1"/>
      <c r="AX444" s="1"/>
      <c r="AY444" s="1"/>
      <c r="AZ444" s="1"/>
      <c r="BA444" s="1"/>
      <c r="BB444" s="1"/>
      <c r="BC444" s="1"/>
      <c r="BD444" s="1"/>
      <c r="BE444" s="1"/>
      <c r="BF444" s="1"/>
      <c r="BG444" s="1"/>
      <c r="BH444" s="1"/>
      <c r="BI444" s="1"/>
      <c r="BJ444" s="1"/>
      <c r="BK444" s="1"/>
      <c r="BL444" s="1"/>
      <c r="BM444" s="1">
        <v>43676.25</v>
      </c>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row>
    <row r="445" spans="1:216" x14ac:dyDescent="0.3">
      <c r="A445" s="3" t="str">
        <f>HYPERLINK("https://hpr-rps.hres.ca/reg-content/summary-basis-decision-detailTwo.php?lang=en&amp;linkID=SBD00455", "Vitrakvi")</f>
        <v>Vitrakvi</v>
      </c>
      <c r="B445" s="1" t="s">
        <v>1152</v>
      </c>
      <c r="C445" s="1" t="s">
        <v>338</v>
      </c>
      <c r="D445" s="1" t="s">
        <v>1153</v>
      </c>
      <c r="E445" s="1">
        <v>43257.25</v>
      </c>
      <c r="F445" s="1"/>
      <c r="G445" s="1"/>
      <c r="H445" s="1"/>
      <c r="I445" s="1"/>
      <c r="J445" s="1"/>
      <c r="K445" s="1"/>
      <c r="L445" s="1"/>
      <c r="M445" s="1"/>
      <c r="N445" s="1">
        <v>43257.25</v>
      </c>
      <c r="O445" s="1">
        <v>43322.25</v>
      </c>
      <c r="P445" s="1"/>
      <c r="Q445" s="1"/>
      <c r="R445" s="1"/>
      <c r="S445" s="1"/>
      <c r="T445" s="1"/>
      <c r="U445" s="1"/>
      <c r="V445" s="1">
        <v>43361.25</v>
      </c>
      <c r="W445" s="1"/>
      <c r="X445" s="1"/>
      <c r="Y445" s="1"/>
      <c r="Z445" s="1">
        <v>43385.25</v>
      </c>
      <c r="AA445" s="1"/>
      <c r="AB445" s="1"/>
      <c r="AC445" s="1">
        <v>43397.25</v>
      </c>
      <c r="AD445" s="1"/>
      <c r="AE445" s="1"/>
      <c r="AF445" s="1">
        <v>43409.25</v>
      </c>
      <c r="AG445" s="1"/>
      <c r="AH445" s="1"/>
      <c r="AI445" s="1"/>
      <c r="AJ445" s="1"/>
      <c r="AK445" s="1"/>
      <c r="AL445" s="1"/>
      <c r="AM445" s="1"/>
      <c r="AN445" s="1"/>
      <c r="AO445" s="1"/>
      <c r="AP445" s="1"/>
      <c r="AQ445" s="1">
        <v>43630.25</v>
      </c>
      <c r="AR445" s="1">
        <v>43619.25</v>
      </c>
      <c r="AS445" s="1"/>
      <c r="AT445" s="1"/>
      <c r="AU445" s="1">
        <v>43629.25</v>
      </c>
      <c r="AV445" s="1">
        <v>43609.25</v>
      </c>
      <c r="AW445" s="1"/>
      <c r="AX445" s="1">
        <v>43580.25</v>
      </c>
      <c r="AY445" s="1"/>
      <c r="AZ445" s="1"/>
      <c r="BA445" s="1"/>
      <c r="BB445" s="1"/>
      <c r="BC445" s="1"/>
      <c r="BD445" s="1"/>
      <c r="BE445" s="1"/>
      <c r="BF445" s="1"/>
      <c r="BG445" s="1"/>
      <c r="BH445" s="1"/>
      <c r="BI445" s="1"/>
      <c r="BJ445" s="1"/>
      <c r="BK445" s="1">
        <v>43630.25</v>
      </c>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v>43649.25</v>
      </c>
      <c r="CQ445" s="1"/>
      <c r="CR445" s="1"/>
      <c r="CS445" s="1"/>
      <c r="CT445" s="1"/>
      <c r="CU445" s="1"/>
      <c r="CV445" s="1"/>
      <c r="CW445" s="1"/>
      <c r="CX445" s="1"/>
      <c r="CY445" s="1"/>
      <c r="CZ445" s="1"/>
      <c r="DA445" s="1"/>
      <c r="DB445" s="1"/>
      <c r="DC445" s="1"/>
      <c r="DD445" s="1"/>
      <c r="DE445" s="1"/>
      <c r="DF445" s="1"/>
      <c r="DG445" s="1">
        <v>43656.25</v>
      </c>
      <c r="DH445" s="1"/>
      <c r="DI445" s="1"/>
      <c r="DJ445" s="1"/>
      <c r="DK445" s="1"/>
      <c r="DL445" s="1"/>
      <c r="DM445" s="1"/>
      <c r="DN445" s="1"/>
      <c r="DO445" s="1"/>
      <c r="DP445" s="1"/>
      <c r="DQ445" s="1"/>
      <c r="DR445" s="1"/>
      <c r="DS445" s="1"/>
      <c r="DT445" s="1">
        <v>43633.25</v>
      </c>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row>
    <row r="446" spans="1:216" x14ac:dyDescent="0.3">
      <c r="A446" s="3" t="str">
        <f>HYPERLINK("https://hpr-rps.hres.ca/reg-content/summary-basis-decision-detailTwo.php?lang=en&amp;linkID=SBD00456", "Tibella")</f>
        <v>Tibella</v>
      </c>
      <c r="B446" s="1" t="s">
        <v>1154</v>
      </c>
      <c r="C446" s="1" t="s">
        <v>1155</v>
      </c>
      <c r="D446" s="1" t="s">
        <v>1156</v>
      </c>
      <c r="E446" s="1">
        <v>42543.25</v>
      </c>
      <c r="F446" s="1"/>
      <c r="G446" s="1"/>
      <c r="H446" s="1">
        <v>42887.25</v>
      </c>
      <c r="I446" s="1"/>
      <c r="J446" s="1"/>
      <c r="K446" s="1"/>
      <c r="L446" s="1"/>
      <c r="M446" s="1"/>
      <c r="N446" s="1"/>
      <c r="O446" s="1"/>
      <c r="P446" s="1"/>
      <c r="Q446" s="1"/>
      <c r="R446" s="1"/>
      <c r="S446" s="1"/>
      <c r="T446" s="1"/>
      <c r="U446" s="1"/>
      <c r="V446" s="1"/>
      <c r="W446" s="1"/>
      <c r="X446" s="1"/>
      <c r="Y446" s="1"/>
      <c r="Z446" s="1">
        <v>42937.25</v>
      </c>
      <c r="AA446" s="1"/>
      <c r="AB446" s="1"/>
      <c r="AC446" s="1">
        <v>42965.25</v>
      </c>
      <c r="AD446" s="1"/>
      <c r="AE446" s="1"/>
      <c r="AF446" s="1">
        <v>43010.25</v>
      </c>
      <c r="AG446" s="1"/>
      <c r="AH446" s="1"/>
      <c r="AI446" s="1"/>
      <c r="AJ446" s="1"/>
      <c r="AK446" s="1"/>
      <c r="AL446" s="1"/>
      <c r="AM446" s="1"/>
      <c r="AN446" s="1"/>
      <c r="AO446" s="1"/>
      <c r="AP446" s="1"/>
      <c r="AQ446" s="1"/>
      <c r="AR446" s="1"/>
      <c r="AS446" s="1"/>
      <c r="AT446" s="1"/>
      <c r="AU446" s="1">
        <v>43271.25</v>
      </c>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v>43300.25</v>
      </c>
      <c r="BU446" s="1"/>
      <c r="BV446" s="1"/>
      <c r="BW446" s="1"/>
      <c r="BX446" s="1"/>
      <c r="BY446" s="1">
        <v>43411.25</v>
      </c>
      <c r="BZ446" s="1"/>
      <c r="CA446" s="1"/>
      <c r="CB446" s="1"/>
      <c r="CC446" s="1"/>
      <c r="CD446" s="1"/>
      <c r="CE446" s="1"/>
      <c r="CF446" s="1"/>
      <c r="CG446" s="1"/>
      <c r="CH446" s="1"/>
      <c r="CI446" s="1"/>
      <c r="CJ446" s="1"/>
      <c r="CK446" s="1"/>
      <c r="CL446" s="1"/>
      <c r="CM446" s="1"/>
      <c r="CN446" s="1"/>
      <c r="CO446" s="1"/>
      <c r="CP446" s="1"/>
      <c r="CQ446" s="1"/>
      <c r="CR446" s="1">
        <v>43448.25</v>
      </c>
      <c r="CS446" s="1"/>
      <c r="CT446" s="1"/>
      <c r="CU446" s="1"/>
      <c r="CV446" s="1"/>
      <c r="CW446" s="1"/>
      <c r="CX446" s="1"/>
      <c r="CY446" s="1"/>
      <c r="CZ446" s="1"/>
      <c r="DA446" s="1"/>
      <c r="DB446" s="1"/>
      <c r="DC446" s="1">
        <v>43595.25</v>
      </c>
      <c r="DD446" s="1">
        <v>43594.25</v>
      </c>
      <c r="DE446" s="1">
        <v>43538.208333333343</v>
      </c>
      <c r="DF446" s="1"/>
      <c r="DG446" s="1">
        <v>43594.25</v>
      </c>
      <c r="DH446" s="1">
        <v>43594.25</v>
      </c>
      <c r="DI446" s="1"/>
      <c r="DJ446" s="1"/>
      <c r="DK446" s="1"/>
      <c r="DL446" s="1"/>
      <c r="DM446" s="1"/>
      <c r="DN446" s="1"/>
      <c r="DO446" s="1"/>
      <c r="DP446" s="1"/>
      <c r="DQ446" s="1"/>
      <c r="DR446" s="1"/>
      <c r="DS446" s="1"/>
      <c r="DT446" s="1"/>
      <c r="DU446" s="1"/>
      <c r="DV446" s="1"/>
      <c r="DW446" s="1"/>
      <c r="DX446" s="1"/>
      <c r="DY446" s="1">
        <v>43595.25</v>
      </c>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row>
    <row r="447" spans="1:216" x14ac:dyDescent="0.3">
      <c r="A447" s="3" t="str">
        <f>HYPERLINK("https://hpr-rps.hres.ca/reg-content/summary-basis-decision-detailTwo.php?lang=en&amp;linkID=SBD00457", "Calquence")</f>
        <v>Calquence</v>
      </c>
      <c r="B447" s="1" t="s">
        <v>1157</v>
      </c>
      <c r="C447" s="1" t="s">
        <v>137</v>
      </c>
      <c r="D447" s="1" t="s">
        <v>1158</v>
      </c>
      <c r="E447" s="1">
        <v>43054.25</v>
      </c>
      <c r="F447" s="1"/>
      <c r="G447" s="1"/>
      <c r="H447" s="1">
        <v>43174.208333333343</v>
      </c>
      <c r="I447" s="1"/>
      <c r="J447" s="1"/>
      <c r="K447" s="1"/>
      <c r="L447" s="1"/>
      <c r="M447" s="1"/>
      <c r="N447" s="1"/>
      <c r="O447" s="1"/>
      <c r="P447" s="1"/>
      <c r="Q447" s="1"/>
      <c r="R447" s="1"/>
      <c r="S447" s="1"/>
      <c r="T447" s="1"/>
      <c r="U447" s="1"/>
      <c r="V447" s="1"/>
      <c r="W447" s="1"/>
      <c r="X447" s="1"/>
      <c r="Y447" s="1"/>
      <c r="Z447" s="1">
        <v>43199.25</v>
      </c>
      <c r="AA447" s="1"/>
      <c r="AB447" s="1"/>
      <c r="AC447" s="1">
        <v>43203.25</v>
      </c>
      <c r="AD447" s="1"/>
      <c r="AE447" s="1"/>
      <c r="AF447" s="1">
        <v>43217.25</v>
      </c>
      <c r="AG447" s="1"/>
      <c r="AH447" s="1"/>
      <c r="AI447" s="1"/>
      <c r="AJ447" s="1"/>
      <c r="AK447" s="1"/>
      <c r="AL447" s="1"/>
      <c r="AM447" s="1"/>
      <c r="AN447" s="1"/>
      <c r="AO447" s="1"/>
      <c r="AP447" s="1"/>
      <c r="AQ447" s="1"/>
      <c r="AR447" s="1"/>
      <c r="AS447" s="1">
        <v>43350.25</v>
      </c>
      <c r="AT447" s="1"/>
      <c r="AU447" s="1"/>
      <c r="AV447" s="1">
        <v>43409.25</v>
      </c>
      <c r="AW447" s="1"/>
      <c r="AX447" s="1">
        <v>43397.25</v>
      </c>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v>43495.25</v>
      </c>
      <c r="BZ447" s="1"/>
      <c r="CA447" s="1"/>
      <c r="CB447" s="1"/>
      <c r="CC447" s="1"/>
      <c r="CD447" s="1"/>
      <c r="CE447" s="1"/>
      <c r="CF447" s="1"/>
      <c r="CG447" s="1"/>
      <c r="CH447" s="1"/>
      <c r="CI447" s="1"/>
      <c r="CJ447" s="1"/>
      <c r="CK447" s="1"/>
      <c r="CL447" s="1"/>
      <c r="CM447" s="1"/>
      <c r="CN447" s="1"/>
      <c r="CO447" s="1"/>
      <c r="CP447" s="1"/>
      <c r="CQ447" s="1"/>
      <c r="CR447" s="1">
        <v>43516.25</v>
      </c>
      <c r="CS447" s="1"/>
      <c r="CT447" s="1"/>
      <c r="CU447" s="1"/>
      <c r="CV447" s="1"/>
      <c r="CW447" s="1"/>
      <c r="CX447" s="1"/>
      <c r="CY447" s="1"/>
      <c r="CZ447" s="1"/>
      <c r="DA447" s="1"/>
      <c r="DB447" s="1"/>
      <c r="DC447" s="1">
        <v>43679.25</v>
      </c>
      <c r="DD447" s="1">
        <v>43693.25</v>
      </c>
      <c r="DE447" s="1"/>
      <c r="DF447" s="1"/>
      <c r="DG447" s="1">
        <v>43699.25</v>
      </c>
      <c r="DH447" s="1">
        <v>43699.25</v>
      </c>
      <c r="DI447" s="1"/>
      <c r="DJ447" s="1">
        <v>43644.25</v>
      </c>
      <c r="DK447" s="1"/>
      <c r="DL447" s="1"/>
      <c r="DM447" s="1"/>
      <c r="DN447" s="1"/>
      <c r="DO447" s="1"/>
      <c r="DP447" s="1"/>
      <c r="DQ447" s="1"/>
      <c r="DR447" s="1"/>
      <c r="DS447" s="1"/>
      <c r="DT447" s="1"/>
      <c r="DU447" s="1"/>
      <c r="DV447" s="1"/>
      <c r="DW447" s="1"/>
      <c r="DX447" s="1"/>
      <c r="DY447" s="1">
        <v>43700.25</v>
      </c>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row>
    <row r="448" spans="1:216" x14ac:dyDescent="0.3">
      <c r="A448" s="3" t="str">
        <f>HYPERLINK("https://hpr-rps.hres.ca/reg-content/summary-basis-decision-detailTwo.php?lang=en&amp;linkID=SBD00458", "Talzenna")</f>
        <v>Talzenna</v>
      </c>
      <c r="B448" s="1" t="s">
        <v>1159</v>
      </c>
      <c r="C448" s="1" t="s">
        <v>1091</v>
      </c>
      <c r="D448" s="1" t="s">
        <v>1160</v>
      </c>
      <c r="E448" s="1">
        <v>43291.25</v>
      </c>
      <c r="F448" s="1"/>
      <c r="G448" s="1"/>
      <c r="H448" s="1">
        <v>43371.25</v>
      </c>
      <c r="I448" s="1"/>
      <c r="J448" s="1"/>
      <c r="K448" s="1"/>
      <c r="L448" s="1"/>
      <c r="M448" s="1"/>
      <c r="N448" s="1"/>
      <c r="O448" s="1"/>
      <c r="P448" s="1"/>
      <c r="Q448" s="1"/>
      <c r="R448" s="1"/>
      <c r="S448" s="1"/>
      <c r="T448" s="1"/>
      <c r="U448" s="1"/>
      <c r="V448" s="1"/>
      <c r="W448" s="1"/>
      <c r="X448" s="1"/>
      <c r="Y448" s="1"/>
      <c r="Z448" s="1"/>
      <c r="AA448" s="1"/>
      <c r="AB448" s="1"/>
      <c r="AC448" s="1"/>
      <c r="AD448" s="1"/>
      <c r="AE448" s="1"/>
      <c r="AF448" s="1">
        <v>43419.25</v>
      </c>
      <c r="AG448" s="1"/>
      <c r="AH448" s="1"/>
      <c r="AI448" s="1"/>
      <c r="AJ448" s="1"/>
      <c r="AK448" s="1"/>
      <c r="AL448" s="1"/>
      <c r="AM448" s="1"/>
      <c r="AN448" s="1"/>
      <c r="AO448" s="1"/>
      <c r="AP448" s="1"/>
      <c r="AQ448" s="1">
        <v>43665.25</v>
      </c>
      <c r="AR448" s="1">
        <v>43713.25</v>
      </c>
      <c r="AS448" s="1">
        <v>43658.25</v>
      </c>
      <c r="AT448" s="1"/>
      <c r="AU448" s="1">
        <v>43714.25</v>
      </c>
      <c r="AV448" s="1">
        <v>43703.25</v>
      </c>
      <c r="AW448" s="1"/>
      <c r="AX448" s="1">
        <v>43633.25</v>
      </c>
      <c r="AY448" s="1"/>
      <c r="AZ448" s="1"/>
      <c r="BA448" s="1"/>
      <c r="BB448" s="1"/>
      <c r="BC448" s="1"/>
      <c r="BD448" s="1"/>
      <c r="BE448" s="1"/>
      <c r="BF448" s="1"/>
      <c r="BG448" s="1"/>
      <c r="BH448" s="1"/>
      <c r="BI448" s="1"/>
      <c r="BJ448" s="1"/>
      <c r="BK448" s="1"/>
      <c r="BL448" s="1"/>
      <c r="BM448" s="1">
        <v>43714.25</v>
      </c>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row>
    <row r="449" spans="1:216" x14ac:dyDescent="0.3">
      <c r="A449" s="3" t="str">
        <f>HYPERLINK("https://hpr-rps.hres.ca/reg-content/summary-basis-decision-detailTwo.php?lang=en&amp;linkID=SBD00459", "Balversa")</f>
        <v>Balversa</v>
      </c>
      <c r="B449" s="1" t="s">
        <v>1161</v>
      </c>
      <c r="C449" s="1" t="s">
        <v>201</v>
      </c>
      <c r="D449" s="1" t="s">
        <v>1162</v>
      </c>
      <c r="E449" s="1">
        <v>43451.25</v>
      </c>
      <c r="F449" s="1"/>
      <c r="G449" s="1">
        <v>43503.25</v>
      </c>
      <c r="H449" s="1">
        <v>43504.25</v>
      </c>
      <c r="I449" s="1"/>
      <c r="J449" s="1"/>
      <c r="K449" s="1"/>
      <c r="L449" s="1"/>
      <c r="M449" s="1"/>
      <c r="N449" s="1"/>
      <c r="O449" s="1"/>
      <c r="P449" s="1"/>
      <c r="Q449" s="1"/>
      <c r="R449" s="1"/>
      <c r="S449" s="1"/>
      <c r="T449" s="1"/>
      <c r="U449" s="1"/>
      <c r="V449" s="1"/>
      <c r="W449" s="1"/>
      <c r="X449" s="1"/>
      <c r="Y449" s="1"/>
      <c r="Z449" s="1"/>
      <c r="AA449" s="1"/>
      <c r="AB449" s="1"/>
      <c r="AC449" s="1"/>
      <c r="AD449" s="1"/>
      <c r="AE449" s="1"/>
      <c r="AF449" s="1">
        <v>43532.25</v>
      </c>
      <c r="AG449" s="1"/>
      <c r="AH449" s="1"/>
      <c r="AI449" s="1"/>
      <c r="AJ449" s="1"/>
      <c r="AK449" s="1"/>
      <c r="AL449" s="1"/>
      <c r="AM449" s="1"/>
      <c r="AN449" s="1"/>
      <c r="AO449" s="1"/>
      <c r="AP449" s="1"/>
      <c r="AQ449" s="1">
        <v>43731.25</v>
      </c>
      <c r="AR449" s="1">
        <v>43717.25</v>
      </c>
      <c r="AS449" s="1"/>
      <c r="AT449" s="1"/>
      <c r="AU449" s="1">
        <v>43728.25</v>
      </c>
      <c r="AV449" s="1">
        <v>43712.25</v>
      </c>
      <c r="AW449" s="1"/>
      <c r="AX449" s="1"/>
      <c r="AY449" s="1"/>
      <c r="AZ449" s="1"/>
      <c r="BA449" s="1"/>
      <c r="BB449" s="1"/>
      <c r="BC449" s="1"/>
      <c r="BD449" s="1"/>
      <c r="BE449" s="1"/>
      <c r="BF449" s="1"/>
      <c r="BG449" s="1"/>
      <c r="BH449" s="1"/>
      <c r="BI449" s="1"/>
      <c r="BJ449" s="1"/>
      <c r="BK449" s="1">
        <v>43731.25</v>
      </c>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v>43761.25</v>
      </c>
      <c r="CQ449" s="1"/>
      <c r="CR449" s="1"/>
      <c r="CS449" s="1"/>
      <c r="CT449" s="1"/>
      <c r="CU449" s="1"/>
      <c r="CV449" s="1"/>
      <c r="CW449" s="1"/>
      <c r="CX449" s="1"/>
      <c r="CY449" s="1"/>
      <c r="CZ449" s="1"/>
      <c r="DA449" s="1"/>
      <c r="DB449" s="1"/>
      <c r="DC449" s="1"/>
      <c r="DD449" s="1"/>
      <c r="DE449" s="1"/>
      <c r="DF449" s="1"/>
      <c r="DG449" s="1">
        <v>43763.25</v>
      </c>
      <c r="DH449" s="1"/>
      <c r="DI449" s="1"/>
      <c r="DJ449" s="1"/>
      <c r="DK449" s="1"/>
      <c r="DL449" s="1"/>
      <c r="DM449" s="1"/>
      <c r="DN449" s="1"/>
      <c r="DO449" s="1"/>
      <c r="DP449" s="1"/>
      <c r="DQ449" s="1"/>
      <c r="DR449" s="1"/>
      <c r="DS449" s="1"/>
      <c r="DT449" s="1">
        <v>43742.25</v>
      </c>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row>
    <row r="450" spans="1:216" x14ac:dyDescent="0.3">
      <c r="A450" s="3" t="str">
        <f>HYPERLINK("https://hpr-rps.hres.ca/reg-content/summary-basis-decision-detailTwo.php?lang=en&amp;linkID=SBD00460", "Trulance")</f>
        <v>Trulance</v>
      </c>
      <c r="B450" s="1" t="s">
        <v>1163</v>
      </c>
      <c r="C450" s="1" t="s">
        <v>1053</v>
      </c>
      <c r="D450" s="1" t="s">
        <v>1164</v>
      </c>
      <c r="E450" s="1"/>
      <c r="F450" s="1"/>
      <c r="G450" s="1"/>
      <c r="H450" s="1">
        <v>43363.25</v>
      </c>
      <c r="I450" s="1"/>
      <c r="J450" s="1"/>
      <c r="K450" s="1"/>
      <c r="L450" s="1"/>
      <c r="M450" s="1"/>
      <c r="N450" s="1"/>
      <c r="O450" s="1"/>
      <c r="P450" s="1"/>
      <c r="Q450" s="1"/>
      <c r="R450" s="1"/>
      <c r="S450" s="1"/>
      <c r="T450" s="1"/>
      <c r="U450" s="1"/>
      <c r="V450" s="1"/>
      <c r="W450" s="1"/>
      <c r="X450" s="1"/>
      <c r="Y450" s="1"/>
      <c r="Z450" s="1">
        <v>43412.25</v>
      </c>
      <c r="AA450" s="1"/>
      <c r="AB450" s="1"/>
      <c r="AC450" s="1">
        <v>43425.25</v>
      </c>
      <c r="AD450" s="1"/>
      <c r="AE450" s="1"/>
      <c r="AF450" s="1">
        <v>43448.25</v>
      </c>
      <c r="AG450" s="1"/>
      <c r="AH450" s="1"/>
      <c r="AI450" s="1"/>
      <c r="AJ450" s="1"/>
      <c r="AK450" s="1"/>
      <c r="AL450" s="1"/>
      <c r="AM450" s="1"/>
      <c r="AN450" s="1"/>
      <c r="AO450" s="1"/>
      <c r="AP450" s="1"/>
      <c r="AQ450" s="1">
        <v>43657.25</v>
      </c>
      <c r="AR450" s="1">
        <v>43745.25</v>
      </c>
      <c r="AS450" s="1"/>
      <c r="AT450" s="1"/>
      <c r="AU450" s="1">
        <v>43745.25</v>
      </c>
      <c r="AV450" s="1">
        <v>43741.25</v>
      </c>
      <c r="AW450" s="1"/>
      <c r="AX450" s="1"/>
      <c r="AY450" s="1"/>
      <c r="AZ450" s="1"/>
      <c r="BA450" s="1"/>
      <c r="BB450" s="1"/>
      <c r="BC450" s="1"/>
      <c r="BD450" s="1"/>
      <c r="BE450" s="1"/>
      <c r="BF450" s="1"/>
      <c r="BG450" s="1"/>
      <c r="BH450" s="1"/>
      <c r="BI450" s="1"/>
      <c r="BJ450" s="1"/>
      <c r="BK450" s="1"/>
      <c r="BL450" s="1"/>
      <c r="BM450" s="1">
        <v>43748.25</v>
      </c>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row>
    <row r="451" spans="1:216" x14ac:dyDescent="0.3">
      <c r="A451" s="3" t="str">
        <f>HYPERLINK("https://hpr-rps.hres.ca/reg-content/summary-basis-decision-detailTwo.php?lang=en&amp;linkID=SBD00461", "Nerlynx")</f>
        <v>Nerlynx</v>
      </c>
      <c r="B451" s="1" t="s">
        <v>1165</v>
      </c>
      <c r="C451" s="1" t="s">
        <v>1166</v>
      </c>
      <c r="D451" s="1" t="s">
        <v>1167</v>
      </c>
      <c r="E451" s="1">
        <v>43215.25</v>
      </c>
      <c r="F451" s="1"/>
      <c r="G451" s="1"/>
      <c r="H451" s="1">
        <v>43272.25</v>
      </c>
      <c r="I451" s="1"/>
      <c r="J451" s="1"/>
      <c r="K451" s="1"/>
      <c r="L451" s="1"/>
      <c r="M451" s="1"/>
      <c r="N451" s="1"/>
      <c r="O451" s="1"/>
      <c r="P451" s="1"/>
      <c r="Q451" s="1"/>
      <c r="R451" s="1"/>
      <c r="S451" s="1"/>
      <c r="T451" s="1"/>
      <c r="U451" s="1"/>
      <c r="V451" s="1"/>
      <c r="W451" s="1"/>
      <c r="X451" s="1"/>
      <c r="Y451" s="1"/>
      <c r="Z451" s="1">
        <v>43350.25</v>
      </c>
      <c r="AA451" s="1"/>
      <c r="AB451" s="1"/>
      <c r="AC451" s="1">
        <v>43355.25</v>
      </c>
      <c r="AD451" s="1"/>
      <c r="AE451" s="1"/>
      <c r="AF451" s="1">
        <v>43362.25</v>
      </c>
      <c r="AG451" s="1"/>
      <c r="AH451" s="1"/>
      <c r="AI451" s="1"/>
      <c r="AJ451" s="1"/>
      <c r="AK451" s="1"/>
      <c r="AL451" s="1"/>
      <c r="AM451" s="1"/>
      <c r="AN451" s="1"/>
      <c r="AO451" s="1"/>
      <c r="AP451" s="1"/>
      <c r="AQ451" s="1">
        <v>43662.25</v>
      </c>
      <c r="AR451" s="1">
        <v>43629.25</v>
      </c>
      <c r="AS451" s="1"/>
      <c r="AT451" s="1"/>
      <c r="AU451" s="1">
        <v>43661.25</v>
      </c>
      <c r="AV451" s="1">
        <v>43637.25</v>
      </c>
      <c r="AW451" s="1"/>
      <c r="AX451" s="1">
        <v>43633.25</v>
      </c>
      <c r="AY451" s="1"/>
      <c r="AZ451" s="1"/>
      <c r="BA451" s="1"/>
      <c r="BB451" s="1"/>
      <c r="BC451" s="1"/>
      <c r="BD451" s="1"/>
      <c r="BE451" s="1"/>
      <c r="BF451" s="1"/>
      <c r="BG451" s="1"/>
      <c r="BH451" s="1"/>
      <c r="BI451" s="1"/>
      <c r="BJ451" s="1"/>
      <c r="BK451" s="1"/>
      <c r="BL451" s="1"/>
      <c r="BM451" s="1">
        <v>43662.25</v>
      </c>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row>
    <row r="452" spans="1:216" x14ac:dyDescent="0.3">
      <c r="A452" s="3" t="str">
        <f>HYPERLINK("https://hpr-rps.hres.ca/reg-content/summary-basis-decision-detailTwo.php?lang=en&amp;linkID=SBD00462", "Trazimera")</f>
        <v>Trazimera</v>
      </c>
      <c r="B452" s="1" t="s">
        <v>1138</v>
      </c>
      <c r="C452" s="1" t="s">
        <v>1091</v>
      </c>
      <c r="D452" s="1" t="s">
        <v>1168</v>
      </c>
      <c r="E452" s="1">
        <v>42997.25</v>
      </c>
      <c r="F452" s="1"/>
      <c r="G452" s="1"/>
      <c r="H452" s="1">
        <v>43084.25</v>
      </c>
      <c r="I452" s="1"/>
      <c r="J452" s="1"/>
      <c r="K452" s="1"/>
      <c r="L452" s="1"/>
      <c r="M452" s="1"/>
      <c r="N452" s="1"/>
      <c r="O452" s="1"/>
      <c r="P452" s="1"/>
      <c r="Q452" s="1"/>
      <c r="R452" s="1"/>
      <c r="S452" s="1"/>
      <c r="T452" s="1"/>
      <c r="U452" s="1"/>
      <c r="V452" s="1"/>
      <c r="W452" s="1"/>
      <c r="X452" s="1"/>
      <c r="Y452" s="1"/>
      <c r="Z452" s="1"/>
      <c r="AA452" s="1"/>
      <c r="AB452" s="1"/>
      <c r="AC452" s="1"/>
      <c r="AD452" s="1"/>
      <c r="AE452" s="1"/>
      <c r="AF452" s="1">
        <v>43132.25</v>
      </c>
      <c r="AG452" s="1"/>
      <c r="AH452" s="1"/>
      <c r="AI452" s="1"/>
      <c r="AJ452" s="1"/>
      <c r="AK452" s="1"/>
      <c r="AL452" s="1"/>
      <c r="AM452" s="1"/>
      <c r="AN452" s="1"/>
      <c r="AO452" s="1"/>
      <c r="AP452" s="1"/>
      <c r="AQ452" s="1">
        <v>43349.25</v>
      </c>
      <c r="AR452" s="1">
        <v>43430.25</v>
      </c>
      <c r="AS452" s="1"/>
      <c r="AT452" s="1"/>
      <c r="AU452" s="1"/>
      <c r="AV452" s="1">
        <v>43430.25</v>
      </c>
      <c r="AW452" s="1"/>
      <c r="AX452" s="1"/>
      <c r="AY452" s="1"/>
      <c r="AZ452" s="1">
        <v>43427.25</v>
      </c>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row>
    <row r="453" spans="1:216" x14ac:dyDescent="0.3">
      <c r="A453" s="3" t="str">
        <f>HYPERLINK("https://hpr-rps.hres.ca/reg-content/summary-basis-decision-detailTwo.php?lang=en&amp;linkID=SBD00463", "Ultomiris")</f>
        <v>Ultomiris</v>
      </c>
      <c r="B453" s="1" t="s">
        <v>1169</v>
      </c>
      <c r="C453" s="1" t="s">
        <v>1170</v>
      </c>
      <c r="D453" s="1" t="s">
        <v>1171</v>
      </c>
      <c r="E453" s="1"/>
      <c r="F453" s="1"/>
      <c r="G453" s="1"/>
      <c r="H453" s="1">
        <v>43356.25</v>
      </c>
      <c r="I453" s="1"/>
      <c r="J453" s="1"/>
      <c r="K453" s="1"/>
      <c r="L453" s="1"/>
      <c r="M453" s="1"/>
      <c r="N453" s="1"/>
      <c r="O453" s="1"/>
      <c r="P453" s="1"/>
      <c r="Q453" s="1"/>
      <c r="R453" s="1"/>
      <c r="S453" s="1"/>
      <c r="T453" s="1"/>
      <c r="U453" s="1"/>
      <c r="V453" s="1"/>
      <c r="W453" s="1"/>
      <c r="X453" s="1"/>
      <c r="Y453" s="1"/>
      <c r="Z453" s="1"/>
      <c r="AA453" s="1"/>
      <c r="AB453" s="1"/>
      <c r="AC453" s="1"/>
      <c r="AD453" s="1"/>
      <c r="AE453" s="1"/>
      <c r="AF453" s="1">
        <v>43406.208333333343</v>
      </c>
      <c r="AG453" s="1"/>
      <c r="AH453" s="1"/>
      <c r="AI453" s="1"/>
      <c r="AJ453" s="1"/>
      <c r="AK453" s="1"/>
      <c r="AL453" s="1"/>
      <c r="AM453" s="1"/>
      <c r="AN453" s="1"/>
      <c r="AO453" s="1">
        <v>43640.25</v>
      </c>
      <c r="AP453" s="1"/>
      <c r="AQ453" s="1">
        <v>43629.25</v>
      </c>
      <c r="AR453" s="1">
        <v>43690.25</v>
      </c>
      <c r="AS453" s="1"/>
      <c r="AT453" s="1"/>
      <c r="AU453" s="1">
        <v>43686.25</v>
      </c>
      <c r="AV453" s="1">
        <v>43700.25</v>
      </c>
      <c r="AW453" s="1"/>
      <c r="AX453" s="1"/>
      <c r="AY453" s="1"/>
      <c r="AZ453" s="1"/>
      <c r="BA453" s="1"/>
      <c r="BB453" s="1"/>
      <c r="BC453" s="1"/>
      <c r="BD453" s="1"/>
      <c r="BE453" s="1"/>
      <c r="BF453" s="1"/>
      <c r="BG453" s="1"/>
      <c r="BH453" s="1"/>
      <c r="BI453" s="1"/>
      <c r="BJ453" s="1"/>
      <c r="BK453" s="1"/>
      <c r="BL453" s="1"/>
      <c r="BM453" s="1">
        <v>43705.25</v>
      </c>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row>
    <row r="454" spans="1:216" x14ac:dyDescent="0.3">
      <c r="A454" s="3" t="str">
        <f>HYPERLINK("https://hpr-rps.hres.ca/reg-content/summary-basis-decision-detailTwo.php?lang=en&amp;linkID=SBD00483", "Daurismo")</f>
        <v>Daurismo</v>
      </c>
      <c r="B454" s="1" t="s">
        <v>1172</v>
      </c>
      <c r="C454" s="1" t="s">
        <v>1091</v>
      </c>
      <c r="D454" s="1" t="s">
        <v>1173</v>
      </c>
      <c r="E454" s="1">
        <v>43298.25</v>
      </c>
      <c r="F454" s="1"/>
      <c r="G454" s="1"/>
      <c r="H454" s="1">
        <v>43539.208333333343</v>
      </c>
      <c r="I454" s="1"/>
      <c r="J454" s="1"/>
      <c r="K454" s="1"/>
      <c r="L454" s="1"/>
      <c r="M454" s="1"/>
      <c r="N454" s="1"/>
      <c r="O454" s="1"/>
      <c r="P454" s="1"/>
      <c r="Q454" s="1"/>
      <c r="R454" s="1"/>
      <c r="S454" s="1"/>
      <c r="T454" s="1"/>
      <c r="U454" s="1"/>
      <c r="V454" s="1"/>
      <c r="W454" s="1"/>
      <c r="X454" s="1"/>
      <c r="Y454" s="1"/>
      <c r="Z454" s="1">
        <v>43587.25</v>
      </c>
      <c r="AA454" s="1"/>
      <c r="AB454" s="1"/>
      <c r="AC454" s="1">
        <v>43614.25</v>
      </c>
      <c r="AD454" s="1"/>
      <c r="AE454" s="1"/>
      <c r="AF454" s="1">
        <v>43651.25</v>
      </c>
      <c r="AG454" s="1"/>
      <c r="AH454" s="1"/>
      <c r="AI454" s="1"/>
      <c r="AJ454" s="1"/>
      <c r="AK454" s="1"/>
      <c r="AL454" s="1"/>
      <c r="AM454" s="1"/>
      <c r="AN454" s="1"/>
      <c r="AO454" s="1"/>
      <c r="AP454" s="1"/>
      <c r="AQ454" s="1">
        <v>43896.25</v>
      </c>
      <c r="AR454" s="1">
        <v>43927.25</v>
      </c>
      <c r="AS454" s="1"/>
      <c r="AT454" s="1"/>
      <c r="AU454" s="1">
        <v>43948.25</v>
      </c>
      <c r="AV454" s="1">
        <v>43948.25</v>
      </c>
      <c r="AW454" s="1"/>
      <c r="AX454" s="1">
        <v>43865.25</v>
      </c>
      <c r="AY454" s="1"/>
      <c r="AZ454" s="1"/>
      <c r="BA454" s="1"/>
      <c r="BB454" s="1"/>
      <c r="BC454" s="1"/>
      <c r="BD454" s="1"/>
      <c r="BE454" s="1"/>
      <c r="BF454" s="1"/>
      <c r="BG454" s="1"/>
      <c r="BH454" s="1"/>
      <c r="BI454" s="1"/>
      <c r="BJ454" s="1"/>
      <c r="BK454" s="1"/>
      <c r="BL454" s="1"/>
      <c r="BM454" s="1">
        <v>43949.25</v>
      </c>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row>
    <row r="455" spans="1:216" x14ac:dyDescent="0.3">
      <c r="A455" s="3" t="str">
        <f>HYPERLINK("https://hpr-rps.hres.ca/reg-content/summary-basis-decision-detailTwo.php?lang=en&amp;linkID=SBD00464", "Aklief")</f>
        <v>Aklief</v>
      </c>
      <c r="B455" s="1" t="s">
        <v>1174</v>
      </c>
      <c r="C455" s="1" t="s">
        <v>204</v>
      </c>
      <c r="D455" s="1" t="s">
        <v>1175</v>
      </c>
      <c r="E455" s="1"/>
      <c r="F455" s="1"/>
      <c r="G455" s="1"/>
      <c r="H455" s="1">
        <v>43434.25</v>
      </c>
      <c r="I455" s="1"/>
      <c r="J455" s="1"/>
      <c r="K455" s="1"/>
      <c r="L455" s="1"/>
      <c r="M455" s="1"/>
      <c r="N455" s="1"/>
      <c r="O455" s="1"/>
      <c r="P455" s="1"/>
      <c r="Q455" s="1"/>
      <c r="R455" s="1"/>
      <c r="S455" s="1"/>
      <c r="T455" s="1"/>
      <c r="U455" s="1"/>
      <c r="V455" s="1"/>
      <c r="W455" s="1"/>
      <c r="X455" s="1"/>
      <c r="Y455" s="1"/>
      <c r="Z455" s="1"/>
      <c r="AA455" s="1"/>
      <c r="AB455" s="1"/>
      <c r="AC455" s="1"/>
      <c r="AD455" s="1"/>
      <c r="AE455" s="1"/>
      <c r="AF455" s="1">
        <v>43496.25</v>
      </c>
      <c r="AG455" s="1"/>
      <c r="AH455" s="1"/>
      <c r="AI455" s="1"/>
      <c r="AJ455" s="1"/>
      <c r="AK455" s="1"/>
      <c r="AL455" s="1"/>
      <c r="AM455" s="1"/>
      <c r="AN455" s="1"/>
      <c r="AO455" s="1"/>
      <c r="AP455" s="1"/>
      <c r="AQ455" s="1">
        <v>43725.25</v>
      </c>
      <c r="AR455" s="1">
        <v>43788.25</v>
      </c>
      <c r="AS455" s="1"/>
      <c r="AT455" s="1"/>
      <c r="AU455" s="1">
        <v>43789.25</v>
      </c>
      <c r="AV455" s="1">
        <v>43782.25</v>
      </c>
      <c r="AW455" s="1"/>
      <c r="AX455" s="1">
        <v>43745.25</v>
      </c>
      <c r="AY455" s="1"/>
      <c r="AZ455" s="1"/>
      <c r="BA455" s="1"/>
      <c r="BB455" s="1"/>
      <c r="BC455" s="1"/>
      <c r="BD455" s="1"/>
      <c r="BE455" s="1"/>
      <c r="BF455" s="1"/>
      <c r="BG455" s="1"/>
      <c r="BH455" s="1"/>
      <c r="BI455" s="1"/>
      <c r="BJ455" s="1"/>
      <c r="BK455" s="1"/>
      <c r="BL455" s="1"/>
      <c r="BM455" s="1">
        <v>43794.25</v>
      </c>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row>
    <row r="456" spans="1:216" x14ac:dyDescent="0.3">
      <c r="A456" s="3" t="str">
        <f>HYPERLINK("https://hpr-rps.hres.ca/reg-content/summary-basis-decision-detailTwo.php?lang=en&amp;linkID=SBD00465", "Galli Eo")</f>
        <v>Galli Eo</v>
      </c>
      <c r="B456" s="1" t="s">
        <v>1176</v>
      </c>
      <c r="C456" s="1" t="s">
        <v>1177</v>
      </c>
      <c r="D456" s="1" t="s">
        <v>1178</v>
      </c>
      <c r="E456" s="1"/>
      <c r="F456" s="1"/>
      <c r="G456" s="1"/>
      <c r="H456" s="1">
        <v>43416.25</v>
      </c>
      <c r="I456" s="1"/>
      <c r="J456" s="1"/>
      <c r="K456" s="1"/>
      <c r="L456" s="1"/>
      <c r="M456" s="1"/>
      <c r="N456" s="1"/>
      <c r="O456" s="1"/>
      <c r="P456" s="1"/>
      <c r="Q456" s="1"/>
      <c r="R456" s="1"/>
      <c r="S456" s="1"/>
      <c r="T456" s="1"/>
      <c r="U456" s="1"/>
      <c r="V456" s="1"/>
      <c r="W456" s="1"/>
      <c r="X456" s="1"/>
      <c r="Y456" s="1"/>
      <c r="Z456" s="1">
        <v>43503.25</v>
      </c>
      <c r="AA456" s="1"/>
      <c r="AB456" s="1"/>
      <c r="AC456" s="1">
        <v>43543.208333333343</v>
      </c>
      <c r="AD456" s="1"/>
      <c r="AE456" s="1"/>
      <c r="AF456" s="1">
        <v>43570.25</v>
      </c>
      <c r="AG456" s="1"/>
      <c r="AH456" s="1"/>
      <c r="AI456" s="1"/>
      <c r="AJ456" s="1"/>
      <c r="AK456" s="1"/>
      <c r="AL456" s="1"/>
      <c r="AM456" s="1"/>
      <c r="AN456" s="1"/>
      <c r="AO456" s="1"/>
      <c r="AP456" s="1"/>
      <c r="AQ456" s="1"/>
      <c r="AR456" s="1">
        <v>43724.25</v>
      </c>
      <c r="AS456" s="1"/>
      <c r="AT456" s="1"/>
      <c r="AU456" s="1">
        <v>43745.25</v>
      </c>
      <c r="AV456" s="1">
        <v>43727.25</v>
      </c>
      <c r="AW456" s="1"/>
      <c r="AX456" s="1"/>
      <c r="AY456" s="1"/>
      <c r="AZ456" s="1"/>
      <c r="BA456" s="1"/>
      <c r="BB456" s="1"/>
      <c r="BC456" s="1"/>
      <c r="BD456" s="1"/>
      <c r="BE456" s="1"/>
      <c r="BF456" s="1"/>
      <c r="BG456" s="1"/>
      <c r="BH456" s="1"/>
      <c r="BI456" s="1"/>
      <c r="BJ456" s="1"/>
      <c r="BK456" s="1"/>
      <c r="BL456" s="1"/>
      <c r="BM456" s="1">
        <v>43782.25</v>
      </c>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row>
    <row r="457" spans="1:216" x14ac:dyDescent="0.3">
      <c r="A457" s="3" t="str">
        <f>HYPERLINK("https://hpr-rps.hres.ca/reg-content/summary-basis-decision-detailTwo.php?lang=en&amp;linkID=SBD00466", "Intrarosa")</f>
        <v>Intrarosa</v>
      </c>
      <c r="B457" s="1" t="s">
        <v>1179</v>
      </c>
      <c r="C457" s="1" t="s">
        <v>1180</v>
      </c>
      <c r="D457" s="1" t="s">
        <v>1181</v>
      </c>
      <c r="E457" s="1"/>
      <c r="F457" s="1"/>
      <c r="G457" s="1"/>
      <c r="H457" s="1">
        <v>42648.25</v>
      </c>
      <c r="I457" s="1"/>
      <c r="J457" s="1"/>
      <c r="K457" s="1"/>
      <c r="L457" s="1"/>
      <c r="M457" s="1"/>
      <c r="N457" s="1"/>
      <c r="O457" s="1"/>
      <c r="P457" s="1"/>
      <c r="Q457" s="1"/>
      <c r="R457" s="1"/>
      <c r="S457" s="1"/>
      <c r="T457" s="1"/>
      <c r="U457" s="1"/>
      <c r="V457" s="1"/>
      <c r="W457" s="1"/>
      <c r="X457" s="1"/>
      <c r="Y457" s="1"/>
      <c r="Z457" s="1">
        <v>42688.25</v>
      </c>
      <c r="AA457" s="1"/>
      <c r="AB457" s="1"/>
      <c r="AC457" s="1">
        <v>42689.25</v>
      </c>
      <c r="AD457" s="1"/>
      <c r="AE457" s="1"/>
      <c r="AF457" s="1">
        <v>42709.25</v>
      </c>
      <c r="AG457" s="1"/>
      <c r="AH457" s="1"/>
      <c r="AI457" s="1"/>
      <c r="AJ457" s="1"/>
      <c r="AK457" s="1"/>
      <c r="AL457" s="1"/>
      <c r="AM457" s="1"/>
      <c r="AN457" s="1"/>
      <c r="AO457" s="1"/>
      <c r="AP457" s="1"/>
      <c r="AQ457" s="1">
        <v>42992.25</v>
      </c>
      <c r="AR457" s="1">
        <v>42979.25</v>
      </c>
      <c r="AS457" s="1"/>
      <c r="AT457" s="1"/>
      <c r="AU457" s="1"/>
      <c r="AV457" s="1">
        <v>42983.25</v>
      </c>
      <c r="AW457" s="1"/>
      <c r="AX457" s="1"/>
      <c r="AY457" s="1"/>
      <c r="AZ457" s="1"/>
      <c r="BA457" s="1"/>
      <c r="BB457" s="1"/>
      <c r="BC457" s="1"/>
      <c r="BD457" s="1"/>
      <c r="BE457" s="1"/>
      <c r="BF457" s="1"/>
      <c r="BG457" s="1"/>
      <c r="BH457" s="1"/>
      <c r="BI457" s="1"/>
      <c r="BJ457" s="1"/>
      <c r="BK457" s="1"/>
      <c r="BL457" s="1"/>
      <c r="BM457" s="1"/>
      <c r="BN457" s="1"/>
      <c r="BO457" s="1"/>
      <c r="BP457" s="1">
        <v>43006.25</v>
      </c>
      <c r="BQ457" s="1"/>
      <c r="BR457" s="1"/>
      <c r="BS457" s="1"/>
      <c r="BT457" s="1"/>
      <c r="BU457" s="1">
        <v>43159.25</v>
      </c>
      <c r="BV457" s="1"/>
      <c r="BW457" s="1"/>
      <c r="BX457" s="1"/>
      <c r="BY457" s="1"/>
      <c r="BZ457" s="1"/>
      <c r="CA457" s="1"/>
      <c r="CB457" s="1"/>
      <c r="CC457" s="1"/>
      <c r="CD457" s="1"/>
      <c r="CE457" s="1"/>
      <c r="CF457" s="1"/>
      <c r="CG457" s="1"/>
      <c r="CH457" s="1"/>
      <c r="CI457" s="1"/>
      <c r="CJ457" s="1"/>
      <c r="CK457" s="1"/>
      <c r="CL457" s="1"/>
      <c r="CM457" s="1"/>
      <c r="CN457" s="1"/>
      <c r="CO457" s="1"/>
      <c r="CP457" s="1"/>
      <c r="CQ457" s="1"/>
      <c r="CR457" s="1">
        <v>43207.25</v>
      </c>
      <c r="CS457" s="1"/>
      <c r="CT457" s="1"/>
      <c r="CU457" s="1"/>
      <c r="CV457" s="1"/>
      <c r="CW457" s="1"/>
      <c r="CX457" s="1"/>
      <c r="CY457" s="1"/>
      <c r="CZ457" s="1"/>
      <c r="DA457" s="1"/>
      <c r="DB457" s="1"/>
      <c r="DC457" s="1"/>
      <c r="DD457" s="1"/>
      <c r="DE457" s="1"/>
      <c r="DF457" s="1"/>
      <c r="DG457" s="1"/>
      <c r="DH457" s="1">
        <v>43501.25</v>
      </c>
      <c r="DI457" s="1"/>
      <c r="DJ457" s="1"/>
      <c r="DK457" s="1"/>
      <c r="DL457" s="1"/>
      <c r="DM457" s="1"/>
      <c r="DN457" s="1"/>
      <c r="DO457" s="1"/>
      <c r="DP457" s="1"/>
      <c r="DQ457" s="1"/>
      <c r="DR457" s="1"/>
      <c r="DS457" s="1"/>
      <c r="DT457" s="1"/>
      <c r="DU457" s="1"/>
      <c r="DV457" s="1"/>
      <c r="DW457" s="1"/>
      <c r="DX457" s="1"/>
      <c r="DY457" s="1"/>
      <c r="DZ457" s="1"/>
      <c r="EA457" s="1"/>
      <c r="EB457" s="1"/>
      <c r="EC457" s="1"/>
      <c r="ED457" s="1">
        <v>43594.25</v>
      </c>
      <c r="EE457" s="1"/>
      <c r="EF457" s="1">
        <v>43504.25</v>
      </c>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v>43622.25</v>
      </c>
      <c r="FE457" s="1"/>
      <c r="FF457" s="1"/>
      <c r="FG457" s="1"/>
      <c r="FH457" s="1"/>
      <c r="FI457" s="1"/>
      <c r="FJ457" s="1"/>
      <c r="FK457" s="1"/>
      <c r="FL457" s="1"/>
      <c r="FM457" s="1"/>
      <c r="FN457" s="1"/>
      <c r="FO457" s="1"/>
      <c r="FP457" s="1">
        <v>43767.208333333343</v>
      </c>
      <c r="FQ457" s="1"/>
      <c r="FR457" s="1"/>
      <c r="FS457" s="1">
        <v>43768.208333333343</v>
      </c>
      <c r="FT457" s="1">
        <v>43766.208333333343</v>
      </c>
      <c r="FU457" s="1"/>
      <c r="FV457" s="1"/>
      <c r="FW457" s="1"/>
      <c r="FX457" s="1"/>
      <c r="FY457" s="1"/>
      <c r="FZ457" s="1"/>
      <c r="GA457" s="1"/>
      <c r="GB457" s="1"/>
      <c r="GC457" s="1"/>
      <c r="GD457" s="1"/>
      <c r="GE457" s="1"/>
      <c r="GF457" s="1"/>
      <c r="GG457" s="1"/>
      <c r="GH457" s="1"/>
      <c r="GI457" s="1"/>
      <c r="GJ457" s="1"/>
      <c r="GK457" s="1">
        <v>43770.208333333343</v>
      </c>
      <c r="GL457" s="1"/>
      <c r="GM457" s="1"/>
      <c r="GN457" s="1"/>
      <c r="GO457" s="1"/>
      <c r="GP457" s="1"/>
      <c r="GQ457" s="1"/>
      <c r="GR457" s="1"/>
      <c r="GS457" s="1"/>
      <c r="GT457" s="1"/>
      <c r="GU457" s="1"/>
      <c r="GV457" s="1"/>
      <c r="GW457" s="1"/>
      <c r="GX457" s="1"/>
      <c r="GY457" s="1"/>
      <c r="GZ457" s="1"/>
      <c r="HA457" s="1"/>
      <c r="HB457" s="1"/>
      <c r="HC457" s="1"/>
      <c r="HD457" s="1"/>
      <c r="HE457" s="1"/>
      <c r="HF457" s="1"/>
      <c r="HG457" s="1"/>
      <c r="HH457" s="1"/>
    </row>
    <row r="458" spans="1:216" x14ac:dyDescent="0.3">
      <c r="A458" s="3" t="str">
        <f>HYPERLINK("https://hpr-rps.hres.ca/reg-content/summary-basis-decision-detailTwo.php?lang=en&amp;linkID=SBD00467", "Netspot")</f>
        <v>Netspot</v>
      </c>
      <c r="B458" s="1" t="s">
        <v>1182</v>
      </c>
      <c r="C458" s="1" t="s">
        <v>1108</v>
      </c>
      <c r="D458" s="1" t="s">
        <v>1183</v>
      </c>
      <c r="E458" s="1"/>
      <c r="F458" s="1"/>
      <c r="G458" s="1"/>
      <c r="H458" s="1">
        <v>43301.25</v>
      </c>
      <c r="I458" s="1"/>
      <c r="J458" s="1"/>
      <c r="K458" s="1"/>
      <c r="L458" s="1"/>
      <c r="M458" s="1"/>
      <c r="N458" s="1"/>
      <c r="O458" s="1"/>
      <c r="P458" s="1"/>
      <c r="Q458" s="1"/>
      <c r="R458" s="1"/>
      <c r="S458" s="1"/>
      <c r="T458" s="1"/>
      <c r="U458" s="1"/>
      <c r="V458" s="1"/>
      <c r="W458" s="1"/>
      <c r="X458" s="1"/>
      <c r="Y458" s="1"/>
      <c r="Z458" s="1"/>
      <c r="AA458" s="1"/>
      <c r="AB458" s="1"/>
      <c r="AC458" s="1"/>
      <c r="AD458" s="1"/>
      <c r="AE458" s="1"/>
      <c r="AF458" s="1">
        <v>43349.25</v>
      </c>
      <c r="AG458" s="1"/>
      <c r="AH458" s="1"/>
      <c r="AI458" s="1"/>
      <c r="AJ458" s="1"/>
      <c r="AK458" s="1"/>
      <c r="AL458" s="1"/>
      <c r="AM458" s="1"/>
      <c r="AN458" s="1"/>
      <c r="AO458" s="1"/>
      <c r="AP458" s="1"/>
      <c r="AQ458" s="1">
        <v>43539.208333333343</v>
      </c>
      <c r="AR458" s="1">
        <v>43644.25</v>
      </c>
      <c r="AS458" s="1"/>
      <c r="AT458" s="1"/>
      <c r="AU458" s="1">
        <v>43648.25</v>
      </c>
      <c r="AV458" s="1">
        <v>43648.25</v>
      </c>
      <c r="AW458" s="1"/>
      <c r="AX458" s="1">
        <v>43647.25</v>
      </c>
      <c r="AY458" s="1"/>
      <c r="AZ458" s="1"/>
      <c r="BA458" s="1"/>
      <c r="BB458" s="1"/>
      <c r="BC458" s="1"/>
      <c r="BD458" s="1"/>
      <c r="BE458" s="1"/>
      <c r="BF458" s="1"/>
      <c r="BG458" s="1"/>
      <c r="BH458" s="1"/>
      <c r="BI458" s="1"/>
      <c r="BJ458" s="1"/>
      <c r="BK458" s="1"/>
      <c r="BL458" s="1"/>
      <c r="BM458" s="1">
        <v>43649.25</v>
      </c>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row>
    <row r="459" spans="1:216" x14ac:dyDescent="0.3">
      <c r="A459" s="3" t="str">
        <f>HYPERLINK("https://hpr-rps.hres.ca/reg-content/summary-basis-decision-detailTwo.php?lang=en&amp;linkID=SBD00468", "Lokelma")</f>
        <v>Lokelma</v>
      </c>
      <c r="B459" s="1" t="s">
        <v>1184</v>
      </c>
      <c r="C459" s="1" t="s">
        <v>137</v>
      </c>
      <c r="D459" s="1" t="s">
        <v>1185</v>
      </c>
      <c r="E459" s="1">
        <v>43259.25</v>
      </c>
      <c r="F459" s="1"/>
      <c r="G459" s="1"/>
      <c r="H459" s="1">
        <v>43327.25</v>
      </c>
      <c r="I459" s="1"/>
      <c r="J459" s="1"/>
      <c r="K459" s="1"/>
      <c r="L459" s="1"/>
      <c r="M459" s="1"/>
      <c r="N459" s="1"/>
      <c r="O459" s="1"/>
      <c r="P459" s="1"/>
      <c r="Q459" s="1"/>
      <c r="R459" s="1"/>
      <c r="S459" s="1"/>
      <c r="T459" s="1"/>
      <c r="U459" s="1"/>
      <c r="V459" s="1"/>
      <c r="W459" s="1"/>
      <c r="X459" s="1"/>
      <c r="Y459" s="1"/>
      <c r="Z459" s="1"/>
      <c r="AA459" s="1"/>
      <c r="AB459" s="1"/>
      <c r="AC459" s="1"/>
      <c r="AD459" s="1"/>
      <c r="AE459" s="1"/>
      <c r="AF459" s="1">
        <v>43371.25</v>
      </c>
      <c r="AG459" s="1"/>
      <c r="AH459" s="1"/>
      <c r="AI459" s="1"/>
      <c r="AJ459" s="1"/>
      <c r="AK459" s="1"/>
      <c r="AL459" s="1"/>
      <c r="AM459" s="1"/>
      <c r="AN459" s="1"/>
      <c r="AO459" s="1"/>
      <c r="AP459" s="1"/>
      <c r="AQ459" s="1">
        <v>43615.25</v>
      </c>
      <c r="AR459" s="1">
        <v>43671.25</v>
      </c>
      <c r="AS459" s="1"/>
      <c r="AT459" s="1"/>
      <c r="AU459" s="1">
        <v>43668.25</v>
      </c>
      <c r="AV459" s="1">
        <v>43665.25</v>
      </c>
      <c r="AW459" s="1"/>
      <c r="AX459" s="1"/>
      <c r="AY459" s="1"/>
      <c r="AZ459" s="1"/>
      <c r="BA459" s="1"/>
      <c r="BB459" s="1"/>
      <c r="BC459" s="1"/>
      <c r="BD459" s="1"/>
      <c r="BE459" s="1"/>
      <c r="BF459" s="1"/>
      <c r="BG459" s="1"/>
      <c r="BH459" s="1"/>
      <c r="BI459" s="1"/>
      <c r="BJ459" s="1"/>
      <c r="BK459" s="1"/>
      <c r="BL459" s="1"/>
      <c r="BM459" s="1">
        <v>43671.25</v>
      </c>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row>
    <row r="460" spans="1:216" x14ac:dyDescent="0.3">
      <c r="A460" s="3" t="str">
        <f>HYPERLINK("https://hpr-rps.hres.ca/reg-content/summary-basis-decision-detailTwo.php?lang=en&amp;linkID=SBD00469", "Xospata")</f>
        <v>Xospata</v>
      </c>
      <c r="B460" s="1" t="s">
        <v>1186</v>
      </c>
      <c r="C460" s="1" t="s">
        <v>761</v>
      </c>
      <c r="D460" s="1" t="s">
        <v>1187</v>
      </c>
      <c r="E460" s="1">
        <v>43544.208333333343</v>
      </c>
      <c r="F460" s="1"/>
      <c r="G460" s="1"/>
      <c r="H460" s="1"/>
      <c r="I460" s="1"/>
      <c r="J460" s="1"/>
      <c r="K460" s="1"/>
      <c r="L460" s="1"/>
      <c r="M460" s="1"/>
      <c r="N460" s="1">
        <v>43553.208333333343</v>
      </c>
      <c r="O460" s="1"/>
      <c r="P460" s="1"/>
      <c r="Q460" s="1"/>
      <c r="R460" s="1"/>
      <c r="S460" s="1">
        <v>43594.25</v>
      </c>
      <c r="T460" s="1"/>
      <c r="U460" s="1"/>
      <c r="V460" s="1">
        <v>43600.25</v>
      </c>
      <c r="W460" s="1"/>
      <c r="X460" s="1"/>
      <c r="Y460" s="1"/>
      <c r="Z460" s="1">
        <v>43630.25</v>
      </c>
      <c r="AA460" s="1"/>
      <c r="AB460" s="1"/>
      <c r="AC460" s="1">
        <v>43637.25</v>
      </c>
      <c r="AD460" s="1"/>
      <c r="AE460" s="1"/>
      <c r="AF460" s="1">
        <v>43643.25</v>
      </c>
      <c r="AG460" s="1"/>
      <c r="AH460" s="1"/>
      <c r="AI460" s="1"/>
      <c r="AJ460" s="1"/>
      <c r="AK460" s="1"/>
      <c r="AL460" s="1"/>
      <c r="AM460" s="1"/>
      <c r="AN460" s="1"/>
      <c r="AO460" s="1"/>
      <c r="AP460" s="1"/>
      <c r="AQ460" s="1">
        <v>43809.25</v>
      </c>
      <c r="AR460" s="1">
        <v>43810.25</v>
      </c>
      <c r="AS460" s="1"/>
      <c r="AT460" s="1"/>
      <c r="AU460" s="1">
        <v>43819.25</v>
      </c>
      <c r="AV460" s="1">
        <v>43815.25</v>
      </c>
      <c r="AW460" s="1"/>
      <c r="AX460" s="1">
        <v>43791.25</v>
      </c>
      <c r="AY460" s="1"/>
      <c r="AZ460" s="1"/>
      <c r="BA460" s="1"/>
      <c r="BB460" s="1"/>
      <c r="BC460" s="1"/>
      <c r="BD460" s="1"/>
      <c r="BE460" s="1"/>
      <c r="BF460" s="1"/>
      <c r="BG460" s="1"/>
      <c r="BH460" s="1"/>
      <c r="BI460" s="1"/>
      <c r="BJ460" s="1"/>
      <c r="BK460" s="1"/>
      <c r="BL460" s="1"/>
      <c r="BM460" s="1">
        <v>43822.25</v>
      </c>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row>
    <row r="461" spans="1:216" x14ac:dyDescent="0.3">
      <c r="A461" s="3" t="str">
        <f>HYPERLINK("https://hpr-rps.hres.ca/reg-content/summary-basis-decision-detailTwo.php?lang=en&amp;linkID=SBD00471", "Mayzent")</f>
        <v>Mayzent</v>
      </c>
      <c r="B461" s="1" t="s">
        <v>1188</v>
      </c>
      <c r="C461" s="1" t="s">
        <v>87</v>
      </c>
      <c r="D461" s="1" t="s">
        <v>1189</v>
      </c>
      <c r="E461" s="1">
        <v>42913.25</v>
      </c>
      <c r="F461" s="1"/>
      <c r="G461" s="1"/>
      <c r="H461" s="1">
        <v>43455.25</v>
      </c>
      <c r="I461" s="1"/>
      <c r="J461" s="1"/>
      <c r="K461" s="1"/>
      <c r="L461" s="1"/>
      <c r="M461" s="1"/>
      <c r="N461" s="1"/>
      <c r="O461" s="1"/>
      <c r="P461" s="1"/>
      <c r="Q461" s="1"/>
      <c r="R461" s="1"/>
      <c r="S461" s="1"/>
      <c r="T461" s="1"/>
      <c r="U461" s="1"/>
      <c r="V461" s="1"/>
      <c r="W461" s="1"/>
      <c r="X461" s="1"/>
      <c r="Y461" s="1"/>
      <c r="Z461" s="1"/>
      <c r="AA461" s="1"/>
      <c r="AB461" s="1"/>
      <c r="AC461" s="1"/>
      <c r="AD461" s="1"/>
      <c r="AE461" s="1"/>
      <c r="AF461" s="1">
        <v>43503.25</v>
      </c>
      <c r="AG461" s="1"/>
      <c r="AH461" s="1"/>
      <c r="AI461" s="1"/>
      <c r="AJ461" s="1"/>
      <c r="AK461" s="1"/>
      <c r="AL461" s="1"/>
      <c r="AM461" s="1"/>
      <c r="AN461" s="1"/>
      <c r="AO461" s="1"/>
      <c r="AP461" s="1"/>
      <c r="AQ461" s="1">
        <v>43865.25</v>
      </c>
      <c r="AR461" s="1">
        <v>43880.25</v>
      </c>
      <c r="AS461" s="1">
        <v>43768.208333333343</v>
      </c>
      <c r="AT461" s="1"/>
      <c r="AU461" s="1">
        <v>43881.25</v>
      </c>
      <c r="AV461" s="1">
        <v>43873.25</v>
      </c>
      <c r="AW461" s="1"/>
      <c r="AX461" s="1"/>
      <c r="AY461" s="1"/>
      <c r="AZ461" s="1"/>
      <c r="BA461" s="1"/>
      <c r="BB461" s="1"/>
      <c r="BC461" s="1"/>
      <c r="BD461" s="1"/>
      <c r="BE461" s="1"/>
      <c r="BF461" s="1"/>
      <c r="BG461" s="1"/>
      <c r="BH461" s="1"/>
      <c r="BI461" s="1"/>
      <c r="BJ461" s="1"/>
      <c r="BK461" s="1"/>
      <c r="BL461" s="1"/>
      <c r="BM461" s="1">
        <v>43881.25</v>
      </c>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row>
    <row r="462" spans="1:216" x14ac:dyDescent="0.3">
      <c r="A462" s="3" t="str">
        <f>HYPERLINK("https://hpr-rps.hres.ca/reg-content/summary-basis-decision-detailTwo.php?lang=en&amp;linkID=SBD00472", "Vascepa")</f>
        <v>Vascepa</v>
      </c>
      <c r="B462" s="1" t="s">
        <v>1190</v>
      </c>
      <c r="C462" s="1" t="s">
        <v>1191</v>
      </c>
      <c r="D462" s="1" t="s">
        <v>1192</v>
      </c>
      <c r="E462" s="1">
        <v>43005.25</v>
      </c>
      <c r="F462" s="1"/>
      <c r="G462" s="1"/>
      <c r="H462" s="1"/>
      <c r="I462" s="1"/>
      <c r="J462" s="1"/>
      <c r="K462" s="1"/>
      <c r="L462" s="1"/>
      <c r="M462" s="1"/>
      <c r="N462" s="1">
        <v>43522.25</v>
      </c>
      <c r="O462" s="1"/>
      <c r="P462" s="1"/>
      <c r="Q462" s="1"/>
      <c r="R462" s="1"/>
      <c r="S462" s="1">
        <v>43553.208333333343</v>
      </c>
      <c r="T462" s="1"/>
      <c r="U462" s="1"/>
      <c r="V462" s="1">
        <v>43581.25</v>
      </c>
      <c r="W462" s="1"/>
      <c r="X462" s="1"/>
      <c r="Y462" s="1"/>
      <c r="Z462" s="1">
        <v>43616.25</v>
      </c>
      <c r="AA462" s="1"/>
      <c r="AB462" s="1"/>
      <c r="AC462" s="1">
        <v>43635.25</v>
      </c>
      <c r="AD462" s="1"/>
      <c r="AE462" s="1"/>
      <c r="AF462" s="1">
        <v>43651.25</v>
      </c>
      <c r="AG462" s="1"/>
      <c r="AH462" s="1"/>
      <c r="AI462" s="1"/>
      <c r="AJ462" s="1"/>
      <c r="AK462" s="1"/>
      <c r="AL462" s="1"/>
      <c r="AM462" s="1"/>
      <c r="AN462" s="1"/>
      <c r="AO462" s="1"/>
      <c r="AP462" s="1"/>
      <c r="AQ462" s="1"/>
      <c r="AR462" s="1">
        <v>43819.25</v>
      </c>
      <c r="AS462" s="1"/>
      <c r="AT462" s="1"/>
      <c r="AU462" s="1">
        <v>43822.25</v>
      </c>
      <c r="AV462" s="1">
        <v>43822.25</v>
      </c>
      <c r="AW462" s="1"/>
      <c r="AX462" s="1"/>
      <c r="AY462" s="1"/>
      <c r="AZ462" s="1"/>
      <c r="BA462" s="1"/>
      <c r="BB462" s="1"/>
      <c r="BC462" s="1"/>
      <c r="BD462" s="1"/>
      <c r="BE462" s="1"/>
      <c r="BF462" s="1"/>
      <c r="BG462" s="1"/>
      <c r="BH462" s="1"/>
      <c r="BI462" s="1"/>
      <c r="BJ462" s="1"/>
      <c r="BK462" s="1"/>
      <c r="BL462" s="1"/>
      <c r="BM462" s="1">
        <v>43829.25</v>
      </c>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row>
    <row r="463" spans="1:216" x14ac:dyDescent="0.3">
      <c r="A463" s="3" t="str">
        <f>HYPERLINK("https://hpr-rps.hres.ca/reg-content/summary-basis-decision-detailTwo.php?lang=en&amp;linkID=SBD00473", "Herzuma")</f>
        <v>Herzuma</v>
      </c>
      <c r="B463" s="1" t="s">
        <v>1138</v>
      </c>
      <c r="C463" s="1" t="s">
        <v>1193</v>
      </c>
      <c r="D463" s="1" t="s">
        <v>1194</v>
      </c>
      <c r="E463" s="1">
        <v>42796.25</v>
      </c>
      <c r="F463" s="1"/>
      <c r="G463" s="1"/>
      <c r="H463" s="1">
        <v>43032.25</v>
      </c>
      <c r="I463" s="1"/>
      <c r="J463" s="1"/>
      <c r="K463" s="1"/>
      <c r="L463" s="1"/>
      <c r="M463" s="1"/>
      <c r="N463" s="1"/>
      <c r="O463" s="1"/>
      <c r="P463" s="1"/>
      <c r="Q463" s="1"/>
      <c r="R463" s="1"/>
      <c r="S463" s="1"/>
      <c r="T463" s="1"/>
      <c r="U463" s="1"/>
      <c r="V463" s="1"/>
      <c r="W463" s="1"/>
      <c r="X463" s="1"/>
      <c r="Y463" s="1"/>
      <c r="Z463" s="1"/>
      <c r="AA463" s="1"/>
      <c r="AB463" s="1"/>
      <c r="AC463" s="1"/>
      <c r="AD463" s="1"/>
      <c r="AE463" s="1"/>
      <c r="AF463" s="1">
        <v>43056.25</v>
      </c>
      <c r="AG463" s="1"/>
      <c r="AH463" s="1"/>
      <c r="AI463" s="1"/>
      <c r="AJ463" s="1"/>
      <c r="AK463" s="1"/>
      <c r="AL463" s="1"/>
      <c r="AM463" s="1"/>
      <c r="AN463" s="1"/>
      <c r="AO463" s="1"/>
      <c r="AP463" s="1"/>
      <c r="AQ463" s="1">
        <v>43265.25</v>
      </c>
      <c r="AR463" s="1">
        <v>43356.25</v>
      </c>
      <c r="AS463" s="1"/>
      <c r="AT463" s="1"/>
      <c r="AU463" s="1"/>
      <c r="AV463" s="1">
        <v>43348.25</v>
      </c>
      <c r="AW463" s="1"/>
      <c r="AX463" s="1"/>
      <c r="AY463" s="1"/>
      <c r="AZ463" s="1">
        <v>43356.25</v>
      </c>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row>
    <row r="464" spans="1:216" x14ac:dyDescent="0.3">
      <c r="A464" s="3" t="str">
        <f>HYPERLINK("https://hpr-rps.hres.ca/reg-content/summary-basis-decision-detailTwo.php?lang=en&amp;linkID=SBD00474", "Rinvoq")</f>
        <v>Rinvoq</v>
      </c>
      <c r="B464" s="1" t="s">
        <v>1195</v>
      </c>
      <c r="C464" s="1" t="s">
        <v>694</v>
      </c>
      <c r="D464" s="1" t="s">
        <v>1196</v>
      </c>
      <c r="E464" s="1">
        <v>43252.25</v>
      </c>
      <c r="F464" s="1"/>
      <c r="G464" s="1"/>
      <c r="H464" s="1">
        <v>43481.25</v>
      </c>
      <c r="I464" s="1"/>
      <c r="J464" s="1"/>
      <c r="K464" s="1"/>
      <c r="L464" s="1"/>
      <c r="M464" s="1"/>
      <c r="N464" s="1"/>
      <c r="O464" s="1"/>
      <c r="P464" s="1"/>
      <c r="Q464" s="1"/>
      <c r="R464" s="1"/>
      <c r="S464" s="1"/>
      <c r="T464" s="1"/>
      <c r="U464" s="1"/>
      <c r="V464" s="1"/>
      <c r="W464" s="1"/>
      <c r="X464" s="1"/>
      <c r="Y464" s="1"/>
      <c r="Z464" s="1"/>
      <c r="AA464" s="1"/>
      <c r="AB464" s="1"/>
      <c r="AC464" s="1"/>
      <c r="AD464" s="1"/>
      <c r="AE464" s="1"/>
      <c r="AF464" s="1">
        <v>43525.25</v>
      </c>
      <c r="AG464" s="1"/>
      <c r="AH464" s="1"/>
      <c r="AI464" s="1"/>
      <c r="AJ464" s="1"/>
      <c r="AK464" s="1"/>
      <c r="AL464" s="1"/>
      <c r="AM464" s="1"/>
      <c r="AN464" s="1"/>
      <c r="AO464" s="1"/>
      <c r="AP464" s="1"/>
      <c r="AQ464" s="1">
        <v>43790.25</v>
      </c>
      <c r="AR464" s="1">
        <v>43818.25</v>
      </c>
      <c r="AS464" s="1"/>
      <c r="AT464" s="1"/>
      <c r="AU464" s="1">
        <v>43822.25</v>
      </c>
      <c r="AV464" s="1">
        <v>43817.25</v>
      </c>
      <c r="AW464" s="1"/>
      <c r="AX464" s="1">
        <v>43801.25</v>
      </c>
      <c r="AY464" s="1"/>
      <c r="AZ464" s="1"/>
      <c r="BA464" s="1"/>
      <c r="BB464" s="1"/>
      <c r="BC464" s="1"/>
      <c r="BD464" s="1"/>
      <c r="BE464" s="1"/>
      <c r="BF464" s="1"/>
      <c r="BG464" s="1"/>
      <c r="BH464" s="1"/>
      <c r="BI464" s="1"/>
      <c r="BJ464" s="1"/>
      <c r="BK464" s="1"/>
      <c r="BL464" s="1"/>
      <c r="BM464" s="1">
        <v>43822.25</v>
      </c>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row>
    <row r="465" spans="1:216" x14ac:dyDescent="0.3">
      <c r="A465" s="3" t="str">
        <f>HYPERLINK("https://hpr-rps.hres.ca/reg-content/summary-basis-decision-detailTwo.php?lang=en&amp;linkID=SBD00475", "Xofluza")</f>
        <v>Xofluza</v>
      </c>
      <c r="B465" s="1" t="s">
        <v>1197</v>
      </c>
      <c r="C465" s="1" t="s">
        <v>866</v>
      </c>
      <c r="D465" s="1" t="s">
        <v>1198</v>
      </c>
      <c r="E465" s="1">
        <v>43515.25</v>
      </c>
      <c r="F465" s="1"/>
      <c r="G465" s="1"/>
      <c r="H465" s="1">
        <v>43585.25</v>
      </c>
      <c r="I465" s="1"/>
      <c r="J465" s="1"/>
      <c r="K465" s="1"/>
      <c r="L465" s="1"/>
      <c r="M465" s="1"/>
      <c r="N465" s="1"/>
      <c r="O465" s="1"/>
      <c r="P465" s="1"/>
      <c r="Q465" s="1"/>
      <c r="R465" s="1"/>
      <c r="S465" s="1"/>
      <c r="T465" s="1"/>
      <c r="U465" s="1"/>
      <c r="V465" s="1"/>
      <c r="W465" s="1"/>
      <c r="X465" s="1"/>
      <c r="Y465" s="1"/>
      <c r="Z465" s="1"/>
      <c r="AA465" s="1"/>
      <c r="AB465" s="1"/>
      <c r="AC465" s="1"/>
      <c r="AD465" s="1"/>
      <c r="AE465" s="1"/>
      <c r="AF465" s="1">
        <v>43616.25</v>
      </c>
      <c r="AG465" s="1"/>
      <c r="AH465" s="1"/>
      <c r="AI465" s="1"/>
      <c r="AJ465" s="1"/>
      <c r="AK465" s="1"/>
      <c r="AL465" s="1"/>
      <c r="AM465" s="1"/>
      <c r="AN465" s="1"/>
      <c r="AO465" s="1"/>
      <c r="AP465" s="1"/>
      <c r="AQ465" s="1">
        <v>43875.25</v>
      </c>
      <c r="AR465" s="1">
        <v>43880.25</v>
      </c>
      <c r="AS465" s="1"/>
      <c r="AT465" s="1"/>
      <c r="AU465" s="1">
        <v>43880.25</v>
      </c>
      <c r="AV465" s="1">
        <v>43880.25</v>
      </c>
      <c r="AW465" s="1"/>
      <c r="AX465" s="1"/>
      <c r="AY465" s="1"/>
      <c r="AZ465" s="1"/>
      <c r="BA465" s="1"/>
      <c r="BB465" s="1"/>
      <c r="BC465" s="1"/>
      <c r="BD465" s="1"/>
      <c r="BE465" s="1"/>
      <c r="BF465" s="1"/>
      <c r="BG465" s="1"/>
      <c r="BH465" s="1"/>
      <c r="BI465" s="1"/>
      <c r="BJ465" s="1"/>
      <c r="BK465" s="1"/>
      <c r="BL465" s="1"/>
      <c r="BM465" s="1">
        <v>43880.25</v>
      </c>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row>
    <row r="466" spans="1:216" x14ac:dyDescent="0.3">
      <c r="A466" s="3" t="str">
        <f>HYPERLINK("https://hpr-rps.hres.ca/reg-content/summary-basis-decision-detailTwo.php?lang=en&amp;linkID=SBD00476", "Vyndaqel")</f>
        <v>Vyndaqel</v>
      </c>
      <c r="B466" s="1" t="s">
        <v>1199</v>
      </c>
      <c r="C466" s="1" t="s">
        <v>1091</v>
      </c>
      <c r="D466" s="1" t="s">
        <v>1200</v>
      </c>
      <c r="E466" s="1">
        <v>43523.25</v>
      </c>
      <c r="F466" s="1"/>
      <c r="G466" s="1"/>
      <c r="H466" s="1"/>
      <c r="I466" s="1"/>
      <c r="J466" s="1"/>
      <c r="K466" s="1"/>
      <c r="L466" s="1"/>
      <c r="M466" s="1"/>
      <c r="N466" s="1">
        <v>43581.25</v>
      </c>
      <c r="O466" s="1"/>
      <c r="P466" s="1"/>
      <c r="Q466" s="1"/>
      <c r="R466" s="1"/>
      <c r="S466" s="1">
        <v>43613.25</v>
      </c>
      <c r="T466" s="1"/>
      <c r="U466" s="1"/>
      <c r="V466" s="1">
        <v>43619.25</v>
      </c>
      <c r="W466" s="1"/>
      <c r="X466" s="1"/>
      <c r="Y466" s="1"/>
      <c r="Z466" s="1">
        <v>43644.25</v>
      </c>
      <c r="AA466" s="1"/>
      <c r="AB466" s="1"/>
      <c r="AC466" s="1">
        <v>43658.25</v>
      </c>
      <c r="AD466" s="1"/>
      <c r="AE466" s="1"/>
      <c r="AF466" s="1">
        <v>43670.25</v>
      </c>
      <c r="AG466" s="1"/>
      <c r="AH466" s="1"/>
      <c r="AI466" s="1"/>
      <c r="AJ466" s="1"/>
      <c r="AK466" s="1"/>
      <c r="AL466" s="1"/>
      <c r="AM466" s="1"/>
      <c r="AN466" s="1"/>
      <c r="AO466" s="1"/>
      <c r="AP466" s="1"/>
      <c r="AQ466" s="1">
        <v>43819.25</v>
      </c>
      <c r="AR466" s="1">
        <v>43845.25</v>
      </c>
      <c r="AS466" s="1"/>
      <c r="AT466" s="1"/>
      <c r="AU466" s="1">
        <v>43850.25</v>
      </c>
      <c r="AV466" s="1">
        <v>43839.25</v>
      </c>
      <c r="AW466" s="1"/>
      <c r="AX466" s="1">
        <v>43847.25</v>
      </c>
      <c r="AY466" s="1"/>
      <c r="AZ466" s="1"/>
      <c r="BA466" s="1"/>
      <c r="BB466" s="1"/>
      <c r="BC466" s="1"/>
      <c r="BD466" s="1"/>
      <c r="BE466" s="1"/>
      <c r="BF466" s="1"/>
      <c r="BG466" s="1"/>
      <c r="BH466" s="1"/>
      <c r="BI466" s="1"/>
      <c r="BJ466" s="1"/>
      <c r="BK466" s="1"/>
      <c r="BL466" s="1"/>
      <c r="BM466" s="1">
        <v>43850.25</v>
      </c>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row>
    <row r="467" spans="1:216" x14ac:dyDescent="0.3">
      <c r="A467" s="3" t="str">
        <f>HYPERLINK("https://hpr-rps.hres.ca/reg-content/summary-basis-decision-detailTwo.php?lang=en&amp;linkID=SBD00477", "Cablivi")</f>
        <v>Cablivi</v>
      </c>
      <c r="B467" s="1" t="s">
        <v>1201</v>
      </c>
      <c r="C467" s="1" t="s">
        <v>754</v>
      </c>
      <c r="D467" s="1" t="s">
        <v>1202</v>
      </c>
      <c r="E467" s="1">
        <v>43399.25</v>
      </c>
      <c r="F467" s="1"/>
      <c r="G467" s="1"/>
      <c r="H467" s="1"/>
      <c r="I467" s="1"/>
      <c r="J467" s="1"/>
      <c r="K467" s="1"/>
      <c r="L467" s="1"/>
      <c r="M467" s="1"/>
      <c r="N467" s="1">
        <v>43602.25</v>
      </c>
      <c r="O467" s="1"/>
      <c r="P467" s="1"/>
      <c r="Q467" s="1"/>
      <c r="R467" s="1"/>
      <c r="S467" s="1">
        <v>43622.25</v>
      </c>
      <c r="T467" s="1"/>
      <c r="U467" s="1"/>
      <c r="V467" s="1">
        <v>43668.25</v>
      </c>
      <c r="W467" s="1"/>
      <c r="X467" s="1"/>
      <c r="Y467" s="1"/>
      <c r="Z467" s="1"/>
      <c r="AA467" s="1"/>
      <c r="AB467" s="1"/>
      <c r="AC467" s="1"/>
      <c r="AD467" s="1"/>
      <c r="AE467" s="1"/>
      <c r="AF467" s="1">
        <v>43693.25</v>
      </c>
      <c r="AG467" s="1"/>
      <c r="AH467" s="1"/>
      <c r="AI467" s="1"/>
      <c r="AJ467" s="1"/>
      <c r="AK467" s="1"/>
      <c r="AL467" s="1"/>
      <c r="AM467" s="1"/>
      <c r="AN467" s="1"/>
      <c r="AO467" s="1"/>
      <c r="AP467" s="1"/>
      <c r="AQ467" s="1">
        <v>43829.25</v>
      </c>
      <c r="AR467" s="1">
        <v>43875.25</v>
      </c>
      <c r="AS467" s="1"/>
      <c r="AT467" s="1"/>
      <c r="AU467" s="1">
        <v>43889.25</v>
      </c>
      <c r="AV467" s="1">
        <v>43871.25</v>
      </c>
      <c r="AW467" s="1"/>
      <c r="AX467" s="1"/>
      <c r="AY467" s="1"/>
      <c r="AZ467" s="1"/>
      <c r="BA467" s="1"/>
      <c r="BB467" s="1"/>
      <c r="BC467" s="1"/>
      <c r="BD467" s="1"/>
      <c r="BE467" s="1"/>
      <c r="BF467" s="1"/>
      <c r="BG467" s="1"/>
      <c r="BH467" s="1"/>
      <c r="BI467" s="1"/>
      <c r="BJ467" s="1"/>
      <c r="BK467" s="1"/>
      <c r="BL467" s="1"/>
      <c r="BM467" s="1">
        <v>43889.25</v>
      </c>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row>
    <row r="468" spans="1:216" x14ac:dyDescent="0.3">
      <c r="A468" s="3" t="str">
        <f>HYPERLINK("https://hpr-rps.hres.ca/reg-content/summary-basis-decision-detailTwo.php?lang=en&amp;linkID=SBD00478", "Avsola")</f>
        <v>Avsola</v>
      </c>
      <c r="B468" s="1" t="s">
        <v>698</v>
      </c>
      <c r="C468" s="1" t="s">
        <v>1145</v>
      </c>
      <c r="D468" s="1" t="s">
        <v>1203</v>
      </c>
      <c r="E468" s="1">
        <v>43440.25</v>
      </c>
      <c r="F468" s="1"/>
      <c r="G468" s="1"/>
      <c r="H468" s="1">
        <v>43551.208333333343</v>
      </c>
      <c r="I468" s="1"/>
      <c r="J468" s="1"/>
      <c r="K468" s="1"/>
      <c r="L468" s="1"/>
      <c r="M468" s="1"/>
      <c r="N468" s="1"/>
      <c r="O468" s="1"/>
      <c r="P468" s="1"/>
      <c r="Q468" s="1"/>
      <c r="R468" s="1"/>
      <c r="S468" s="1"/>
      <c r="T468" s="1"/>
      <c r="U468" s="1"/>
      <c r="V468" s="1"/>
      <c r="W468" s="1"/>
      <c r="X468" s="1"/>
      <c r="Y468" s="1"/>
      <c r="Z468" s="1"/>
      <c r="AA468" s="1"/>
      <c r="AB468" s="1"/>
      <c r="AC468" s="1"/>
      <c r="AD468" s="1"/>
      <c r="AE468" s="1"/>
      <c r="AF468" s="1">
        <v>43602.25</v>
      </c>
      <c r="AG468" s="1"/>
      <c r="AH468" s="1"/>
      <c r="AI468" s="1"/>
      <c r="AJ468" s="1"/>
      <c r="AK468" s="1"/>
      <c r="AL468" s="1"/>
      <c r="AM468" s="1"/>
      <c r="AN468" s="1"/>
      <c r="AO468" s="1"/>
      <c r="AP468" s="1"/>
      <c r="AQ468" s="1">
        <v>43826.25</v>
      </c>
      <c r="AR468" s="1">
        <v>43899.208333333343</v>
      </c>
      <c r="AS468" s="1"/>
      <c r="AT468" s="1"/>
      <c r="AU468" s="1"/>
      <c r="AV468" s="1">
        <v>43888.25</v>
      </c>
      <c r="AW468" s="1"/>
      <c r="AX468" s="1"/>
      <c r="AY468" s="1"/>
      <c r="AZ468" s="1">
        <v>43899.208333333343</v>
      </c>
      <c r="BA468" s="1"/>
      <c r="BB468" s="1"/>
      <c r="BC468" s="1"/>
      <c r="BD468" s="1"/>
      <c r="BE468" s="1"/>
      <c r="BF468" s="1"/>
      <c r="BG468" s="1"/>
      <c r="BH468" s="1"/>
      <c r="BI468" s="1"/>
      <c r="BJ468" s="1"/>
      <c r="BK468" s="1"/>
      <c r="BL468" s="1"/>
      <c r="BM468" s="1">
        <v>43902.208333333343</v>
      </c>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row>
    <row r="469" spans="1:216" x14ac:dyDescent="0.3">
      <c r="A469" s="3" t="str">
        <f>HYPERLINK("https://hpr-rps.hres.ca/reg-content/summary-basis-decision-detailTwo.php?lang=en&amp;linkID=SBD00479", "Ajovy")</f>
        <v>Ajovy</v>
      </c>
      <c r="B469" s="1" t="s">
        <v>1204</v>
      </c>
      <c r="C469" s="1" t="s">
        <v>863</v>
      </c>
      <c r="D469" s="1" t="s">
        <v>1205</v>
      </c>
      <c r="E469" s="1">
        <v>42416.25</v>
      </c>
      <c r="F469" s="1"/>
      <c r="G469" s="1"/>
      <c r="H469" s="1">
        <v>43586.25</v>
      </c>
      <c r="I469" s="1"/>
      <c r="J469" s="1"/>
      <c r="K469" s="1"/>
      <c r="L469" s="1"/>
      <c r="M469" s="1"/>
      <c r="N469" s="1"/>
      <c r="O469" s="1"/>
      <c r="P469" s="1"/>
      <c r="Q469" s="1"/>
      <c r="R469" s="1"/>
      <c r="S469" s="1"/>
      <c r="T469" s="1"/>
      <c r="U469" s="1"/>
      <c r="V469" s="1"/>
      <c r="W469" s="1"/>
      <c r="X469" s="1"/>
      <c r="Y469" s="1"/>
      <c r="Z469" s="1"/>
      <c r="AA469" s="1"/>
      <c r="AB469" s="1"/>
      <c r="AC469" s="1"/>
      <c r="AD469" s="1"/>
      <c r="AE469" s="1"/>
      <c r="AF469" s="1">
        <v>43633.25</v>
      </c>
      <c r="AG469" s="1"/>
      <c r="AH469" s="1"/>
      <c r="AI469" s="1"/>
      <c r="AJ469" s="1"/>
      <c r="AK469" s="1"/>
      <c r="AL469" s="1"/>
      <c r="AM469" s="1"/>
      <c r="AN469" s="1"/>
      <c r="AO469" s="1"/>
      <c r="AP469" s="1"/>
      <c r="AQ469" s="1">
        <v>43921.25</v>
      </c>
      <c r="AR469" s="1">
        <v>43928.25</v>
      </c>
      <c r="AS469" s="1"/>
      <c r="AT469" s="1"/>
      <c r="AU469" s="1">
        <v>43927.25</v>
      </c>
      <c r="AV469" s="1">
        <v>43927.25</v>
      </c>
      <c r="AW469" s="1"/>
      <c r="AX469" s="1"/>
      <c r="AY469" s="1"/>
      <c r="AZ469" s="1"/>
      <c r="BA469" s="1"/>
      <c r="BB469" s="1"/>
      <c r="BC469" s="1"/>
      <c r="BD469" s="1"/>
      <c r="BE469" s="1"/>
      <c r="BF469" s="1"/>
      <c r="BG469" s="1"/>
      <c r="BH469" s="1"/>
      <c r="BI469" s="1"/>
      <c r="BJ469" s="1"/>
      <c r="BK469" s="1"/>
      <c r="BL469" s="1"/>
      <c r="BM469" s="1">
        <v>43930.25</v>
      </c>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row>
    <row r="470" spans="1:216" x14ac:dyDescent="0.3">
      <c r="A470" s="3" t="str">
        <f>HYPERLINK("https://hpr-rps.hres.ca/reg-content/summary-basis-decision-detailTwo.php?lang=en&amp;linkID=SBD00480", "Kanjinti")</f>
        <v>Kanjinti</v>
      </c>
      <c r="B470" s="1" t="s">
        <v>1138</v>
      </c>
      <c r="C470" s="1" t="s">
        <v>1145</v>
      </c>
      <c r="D470" s="1" t="s">
        <v>1206</v>
      </c>
      <c r="E470" s="1">
        <v>42781.25</v>
      </c>
      <c r="F470" s="1"/>
      <c r="G470" s="1"/>
      <c r="H470" s="1">
        <v>42968.25</v>
      </c>
      <c r="I470" s="1"/>
      <c r="J470" s="1"/>
      <c r="K470" s="1"/>
      <c r="L470" s="1"/>
      <c r="M470" s="1"/>
      <c r="N470" s="1"/>
      <c r="O470" s="1"/>
      <c r="P470" s="1"/>
      <c r="Q470" s="1"/>
      <c r="R470" s="1"/>
      <c r="S470" s="1"/>
      <c r="T470" s="1"/>
      <c r="U470" s="1"/>
      <c r="V470" s="1"/>
      <c r="W470" s="1"/>
      <c r="X470" s="1"/>
      <c r="Y470" s="1"/>
      <c r="Z470" s="1"/>
      <c r="AA470" s="1"/>
      <c r="AB470" s="1"/>
      <c r="AC470" s="1"/>
      <c r="AD470" s="1"/>
      <c r="AE470" s="1"/>
      <c r="AF470" s="1">
        <v>43021.25</v>
      </c>
      <c r="AG470" s="1"/>
      <c r="AH470" s="1"/>
      <c r="AI470" s="1"/>
      <c r="AJ470" s="1"/>
      <c r="AK470" s="1"/>
      <c r="AL470" s="1"/>
      <c r="AM470" s="1"/>
      <c r="AN470" s="1"/>
      <c r="AO470" s="1">
        <v>43255.25</v>
      </c>
      <c r="AP470" s="1"/>
      <c r="AQ470" s="1">
        <v>43279.25</v>
      </c>
      <c r="AR470" s="1"/>
      <c r="AS470" s="1"/>
      <c r="AT470" s="1"/>
      <c r="AU470" s="1"/>
      <c r="AV470" s="1">
        <v>43321.25</v>
      </c>
      <c r="AW470" s="1"/>
      <c r="AX470" s="1">
        <v>43319.25</v>
      </c>
      <c r="AY470" s="1"/>
      <c r="AZ470" s="1">
        <v>43321.25</v>
      </c>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v>43728.25</v>
      </c>
      <c r="BZ470" s="1"/>
      <c r="CA470" s="1"/>
      <c r="CB470" s="1"/>
      <c r="CC470" s="1"/>
      <c r="CD470" s="1"/>
      <c r="CE470" s="1"/>
      <c r="CF470" s="1"/>
      <c r="CG470" s="1"/>
      <c r="CH470" s="1"/>
      <c r="CI470" s="1"/>
      <c r="CJ470" s="1"/>
      <c r="CK470" s="1"/>
      <c r="CL470" s="1"/>
      <c r="CM470" s="1"/>
      <c r="CN470" s="1"/>
      <c r="CO470" s="1"/>
      <c r="CP470" s="1"/>
      <c r="CQ470" s="1"/>
      <c r="CR470" s="1">
        <v>43738.25</v>
      </c>
      <c r="CS470" s="1"/>
      <c r="CT470" s="1"/>
      <c r="CU470" s="1"/>
      <c r="CV470" s="1"/>
      <c r="CW470" s="1"/>
      <c r="CX470" s="1"/>
      <c r="CY470" s="1"/>
      <c r="CZ470" s="1"/>
      <c r="DA470" s="1"/>
      <c r="DB470" s="1"/>
      <c r="DC470" s="1"/>
      <c r="DD470" s="1">
        <v>43887.25</v>
      </c>
      <c r="DE470" s="1"/>
      <c r="DF470" s="1"/>
      <c r="DG470" s="1"/>
      <c r="DH470" s="1"/>
      <c r="DI470" s="1"/>
      <c r="DJ470" s="1"/>
      <c r="DK470" s="1"/>
      <c r="DL470" s="1">
        <v>43882.25</v>
      </c>
      <c r="DM470" s="1"/>
      <c r="DN470" s="1"/>
      <c r="DO470" s="1"/>
      <c r="DP470" s="1"/>
      <c r="DQ470" s="1"/>
      <c r="DR470" s="1"/>
      <c r="DS470" s="1"/>
      <c r="DT470" s="1"/>
      <c r="DU470" s="1"/>
      <c r="DV470" s="1"/>
      <c r="DW470" s="1"/>
      <c r="DX470" s="1"/>
      <c r="DY470" s="1">
        <v>43888.25</v>
      </c>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row>
    <row r="471" spans="1:216" x14ac:dyDescent="0.3">
      <c r="A471" s="3" t="str">
        <f>HYPERLINK("https://hpr-rps.hres.ca/reg-content/summary-basis-decision-detailTwo.php?lang=en&amp;linkID=SBD00481", "Vocabria/Cabenuva")</f>
        <v>Vocabria/Cabenuva</v>
      </c>
      <c r="B471" s="1" t="s">
        <v>1207</v>
      </c>
      <c r="C471" s="1" t="s">
        <v>1208</v>
      </c>
      <c r="D471" s="1" t="s">
        <v>1209</v>
      </c>
      <c r="E471" s="1">
        <v>43517.25</v>
      </c>
      <c r="F471" s="1"/>
      <c r="G471" s="1"/>
      <c r="H471" s="1"/>
      <c r="I471" s="1"/>
      <c r="J471" s="1"/>
      <c r="K471" s="1"/>
      <c r="L471" s="1"/>
      <c r="M471" s="1"/>
      <c r="N471" s="1">
        <v>43524.25</v>
      </c>
      <c r="O471" s="1"/>
      <c r="P471" s="1"/>
      <c r="Q471" s="1"/>
      <c r="R471" s="1"/>
      <c r="S471" s="1"/>
      <c r="T471" s="1">
        <v>43557.25</v>
      </c>
      <c r="U471" s="1"/>
      <c r="V471" s="1">
        <v>43584.25</v>
      </c>
      <c r="W471" s="1"/>
      <c r="X471" s="1"/>
      <c r="Y471" s="1"/>
      <c r="Z471" s="1"/>
      <c r="AA471" s="1"/>
      <c r="AB471" s="1"/>
      <c r="AC471" s="1"/>
      <c r="AD471" s="1"/>
      <c r="AE471" s="1"/>
      <c r="AF471" s="1">
        <v>43609.25</v>
      </c>
      <c r="AG471" s="1"/>
      <c r="AH471" s="1"/>
      <c r="AI471" s="1"/>
      <c r="AJ471" s="1"/>
      <c r="AK471" s="1"/>
      <c r="AL471" s="1"/>
      <c r="AM471" s="1"/>
      <c r="AN471" s="1"/>
      <c r="AO471" s="1"/>
      <c r="AP471" s="1"/>
      <c r="AQ471" s="1">
        <v>43879.25</v>
      </c>
      <c r="AR471" s="1">
        <v>43907.208333333343</v>
      </c>
      <c r="AS471" s="1"/>
      <c r="AT471" s="1"/>
      <c r="AU471" s="1">
        <v>43907.208333333343</v>
      </c>
      <c r="AV471" s="1">
        <v>43903.208333333343</v>
      </c>
      <c r="AW471" s="1"/>
      <c r="AX471" s="1"/>
      <c r="AY471" s="1"/>
      <c r="AZ471" s="1"/>
      <c r="BA471" s="1"/>
      <c r="BB471" s="1"/>
      <c r="BC471" s="1"/>
      <c r="BD471" s="1"/>
      <c r="BE471" s="1"/>
      <c r="BF471" s="1"/>
      <c r="BG471" s="1"/>
      <c r="BH471" s="1"/>
      <c r="BI471" s="1"/>
      <c r="BJ471" s="1"/>
      <c r="BK471" s="1"/>
      <c r="BL471" s="1"/>
      <c r="BM471" s="1">
        <v>43908.208333333343</v>
      </c>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row>
    <row r="472" spans="1:216" x14ac:dyDescent="0.3">
      <c r="A472" s="3" t="str">
        <f>HYPERLINK("https://hpr-rps.hres.ca/reg-content/summary-basis-decision-detailTwo.php?lang=en&amp;linkID=SBD00482", "Nubeqa")</f>
        <v>Nubeqa</v>
      </c>
      <c r="B472" s="1" t="s">
        <v>1210</v>
      </c>
      <c r="C472" s="1" t="s">
        <v>338</v>
      </c>
      <c r="D472" s="1" t="s">
        <v>1211</v>
      </c>
      <c r="E472" s="1">
        <v>43424.25</v>
      </c>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v>43581.25</v>
      </c>
      <c r="AG472" s="1"/>
      <c r="AH472" s="1"/>
      <c r="AI472" s="1"/>
      <c r="AJ472" s="1"/>
      <c r="AK472" s="1"/>
      <c r="AL472" s="1"/>
      <c r="AM472" s="1"/>
      <c r="AN472" s="1"/>
      <c r="AO472" s="1"/>
      <c r="AP472" s="1"/>
      <c r="AQ472" s="1">
        <v>43844.25</v>
      </c>
      <c r="AR472" s="1">
        <v>43878.25</v>
      </c>
      <c r="AS472" s="1"/>
      <c r="AT472" s="1"/>
      <c r="AU472" s="1">
        <v>43880.25</v>
      </c>
      <c r="AV472" s="1">
        <v>43818.25</v>
      </c>
      <c r="AW472" s="1"/>
      <c r="AX472" s="1"/>
      <c r="AY472" s="1"/>
      <c r="AZ472" s="1"/>
      <c r="BA472" s="1"/>
      <c r="BB472" s="1"/>
      <c r="BC472" s="1"/>
      <c r="BD472" s="1"/>
      <c r="BE472" s="1"/>
      <c r="BF472" s="1"/>
      <c r="BG472" s="1"/>
      <c r="BH472" s="1"/>
      <c r="BI472" s="1"/>
      <c r="BJ472" s="1"/>
      <c r="BK472" s="1"/>
      <c r="BL472" s="1"/>
      <c r="BM472" s="1">
        <v>43881.25</v>
      </c>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row>
    <row r="473" spans="1:216" x14ac:dyDescent="0.3">
      <c r="A473" s="3" t="str">
        <f>HYPERLINK("https://hpr-rps.hres.ca/reg-content/summary-basis-decision-detailTwo.php?lang=en&amp;linkID=SBD00484", "Mylotarg")</f>
        <v>Mylotarg</v>
      </c>
      <c r="B473" s="1" t="s">
        <v>1212</v>
      </c>
      <c r="C473" s="1" t="s">
        <v>1091</v>
      </c>
      <c r="D473" s="1" t="s">
        <v>1213</v>
      </c>
      <c r="E473" s="1">
        <v>43242.25</v>
      </c>
      <c r="F473" s="1"/>
      <c r="G473" s="1"/>
      <c r="H473" s="1">
        <v>43453.25</v>
      </c>
      <c r="I473" s="1"/>
      <c r="J473" s="1"/>
      <c r="K473" s="1"/>
      <c r="L473" s="1"/>
      <c r="M473" s="1"/>
      <c r="N473" s="1"/>
      <c r="O473" s="1"/>
      <c r="P473" s="1"/>
      <c r="Q473" s="1"/>
      <c r="R473" s="1"/>
      <c r="S473" s="1"/>
      <c r="T473" s="1"/>
      <c r="U473" s="1"/>
      <c r="V473" s="1"/>
      <c r="W473" s="1"/>
      <c r="X473" s="1"/>
      <c r="Y473" s="1"/>
      <c r="Z473" s="1"/>
      <c r="AA473" s="1"/>
      <c r="AB473" s="1"/>
      <c r="AC473" s="1"/>
      <c r="AD473" s="1"/>
      <c r="AE473" s="1"/>
      <c r="AF473" s="1">
        <v>43497.25</v>
      </c>
      <c r="AG473" s="1"/>
      <c r="AH473" s="1"/>
      <c r="AI473" s="1"/>
      <c r="AJ473" s="1"/>
      <c r="AK473" s="1"/>
      <c r="AL473" s="1"/>
      <c r="AM473" s="1"/>
      <c r="AN473" s="1"/>
      <c r="AO473" s="1"/>
      <c r="AP473" s="1"/>
      <c r="AQ473" s="1">
        <v>43738.25</v>
      </c>
      <c r="AR473" s="1">
        <v>43794.25</v>
      </c>
      <c r="AS473" s="1"/>
      <c r="AT473" s="1"/>
      <c r="AU473" s="1">
        <v>43794.25</v>
      </c>
      <c r="AV473" s="1">
        <v>43783.25</v>
      </c>
      <c r="AW473" s="1"/>
      <c r="AX473" s="1"/>
      <c r="AY473" s="1"/>
      <c r="AZ473" s="1"/>
      <c r="BA473" s="1"/>
      <c r="BB473" s="1"/>
      <c r="BC473" s="1"/>
      <c r="BD473" s="1"/>
      <c r="BE473" s="1"/>
      <c r="BF473" s="1"/>
      <c r="BG473" s="1"/>
      <c r="BH473" s="1"/>
      <c r="BI473" s="1"/>
      <c r="BJ473" s="1"/>
      <c r="BK473" s="1"/>
      <c r="BL473" s="1"/>
      <c r="BM473" s="1">
        <v>43797.25</v>
      </c>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row>
    <row r="474" spans="1:216" x14ac:dyDescent="0.3">
      <c r="A474" s="3" t="str">
        <f>HYPERLINK("https://hpr-rps.hres.ca/reg-content/summary-basis-decision-detailTwo.php?lang=en&amp;linkID=SBD00485", "Rozlytrek")</f>
        <v>Rozlytrek</v>
      </c>
      <c r="B474" s="1" t="s">
        <v>1214</v>
      </c>
      <c r="C474" s="1" t="s">
        <v>84</v>
      </c>
      <c r="D474" s="1" t="s">
        <v>1215</v>
      </c>
      <c r="E474" s="1">
        <v>43523.25</v>
      </c>
      <c r="F474" s="1"/>
      <c r="G474" s="1">
        <v>43585.25</v>
      </c>
      <c r="H474" s="1">
        <v>43592.25</v>
      </c>
      <c r="I474" s="1"/>
      <c r="J474" s="1"/>
      <c r="K474" s="1"/>
      <c r="L474" s="1"/>
      <c r="M474" s="1"/>
      <c r="N474" s="1"/>
      <c r="O474" s="1"/>
      <c r="P474" s="1"/>
      <c r="Q474" s="1"/>
      <c r="R474" s="1"/>
      <c r="S474" s="1"/>
      <c r="T474" s="1"/>
      <c r="U474" s="1"/>
      <c r="V474" s="1"/>
      <c r="W474" s="1"/>
      <c r="X474" s="1"/>
      <c r="Y474" s="1"/>
      <c r="Z474" s="1"/>
      <c r="AA474" s="1"/>
      <c r="AB474" s="1"/>
      <c r="AC474" s="1"/>
      <c r="AD474" s="1"/>
      <c r="AE474" s="1"/>
      <c r="AF474" s="1">
        <v>43619.25</v>
      </c>
      <c r="AG474" s="1"/>
      <c r="AH474" s="1"/>
      <c r="AI474" s="1"/>
      <c r="AJ474" s="1"/>
      <c r="AK474" s="1"/>
      <c r="AL474" s="1"/>
      <c r="AM474" s="1"/>
      <c r="AN474" s="1"/>
      <c r="AO474" s="1"/>
      <c r="AP474" s="1"/>
      <c r="AQ474" s="1">
        <v>43768.208333333343</v>
      </c>
      <c r="AR474" s="1">
        <v>43817.25</v>
      </c>
      <c r="AS474" s="1">
        <v>43726.25</v>
      </c>
      <c r="AT474" s="1"/>
      <c r="AU474" s="1">
        <v>43816.25</v>
      </c>
      <c r="AV474" s="1">
        <v>43816.25</v>
      </c>
      <c r="AW474" s="1"/>
      <c r="AX474" s="1">
        <v>43798.25</v>
      </c>
      <c r="AY474" s="1"/>
      <c r="AZ474" s="1"/>
      <c r="BA474" s="1"/>
      <c r="BB474" s="1"/>
      <c r="BC474" s="1"/>
      <c r="BD474" s="1"/>
      <c r="BE474" s="1"/>
      <c r="BF474" s="1"/>
      <c r="BG474" s="1"/>
      <c r="BH474" s="1"/>
      <c r="BI474" s="1"/>
      <c r="BJ474" s="1"/>
      <c r="BK474" s="1">
        <v>43819.25</v>
      </c>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v>43868.25</v>
      </c>
      <c r="CQ474" s="1"/>
      <c r="CR474" s="1"/>
      <c r="CS474" s="1"/>
      <c r="CT474" s="1"/>
      <c r="CU474" s="1"/>
      <c r="CV474" s="1"/>
      <c r="CW474" s="1"/>
      <c r="CX474" s="1"/>
      <c r="CY474" s="1"/>
      <c r="CZ474" s="1"/>
      <c r="DA474" s="1"/>
      <c r="DB474" s="1"/>
      <c r="DC474" s="1"/>
      <c r="DD474" s="1"/>
      <c r="DE474" s="1"/>
      <c r="DF474" s="1"/>
      <c r="DG474" s="1">
        <v>43871.25</v>
      </c>
      <c r="DH474" s="1"/>
      <c r="DI474" s="1"/>
      <c r="DJ474" s="1"/>
      <c r="DK474" s="1"/>
      <c r="DL474" s="1"/>
      <c r="DM474" s="1"/>
      <c r="DN474" s="1"/>
      <c r="DO474" s="1"/>
      <c r="DP474" s="1"/>
      <c r="DQ474" s="1"/>
      <c r="DR474" s="1"/>
      <c r="DS474" s="1"/>
      <c r="DT474" s="1">
        <v>43840.25</v>
      </c>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row>
    <row r="475" spans="1:216" x14ac:dyDescent="0.3">
      <c r="A475" s="3" t="str">
        <f>HYPERLINK("https://hpr-rps.hres.ca/reg-content/summary-basis-decision-detailTwo.php?lang=en&amp;linkID=SBD00486", "Nivestym")</f>
        <v>Nivestym</v>
      </c>
      <c r="B475" s="1" t="s">
        <v>750</v>
      </c>
      <c r="C475" s="1" t="s">
        <v>1091</v>
      </c>
      <c r="D475" s="1" t="s">
        <v>1216</v>
      </c>
      <c r="E475" s="1">
        <v>42809.208333333343</v>
      </c>
      <c r="F475" s="1"/>
      <c r="G475" s="1"/>
      <c r="H475" s="1">
        <v>43159.25</v>
      </c>
      <c r="I475" s="1"/>
      <c r="J475" s="1"/>
      <c r="K475" s="1"/>
      <c r="L475" s="1"/>
      <c r="M475" s="1"/>
      <c r="N475" s="1"/>
      <c r="O475" s="1"/>
      <c r="P475" s="1"/>
      <c r="Q475" s="1"/>
      <c r="R475" s="1"/>
      <c r="S475" s="1"/>
      <c r="T475" s="1"/>
      <c r="U475" s="1"/>
      <c r="V475" s="1"/>
      <c r="W475" s="1"/>
      <c r="X475" s="1"/>
      <c r="Y475" s="1"/>
      <c r="Z475" s="1"/>
      <c r="AA475" s="1"/>
      <c r="AB475" s="1"/>
      <c r="AC475" s="1"/>
      <c r="AD475" s="1"/>
      <c r="AE475" s="1"/>
      <c r="AF475" s="1">
        <v>43206.25</v>
      </c>
      <c r="AG475" s="1"/>
      <c r="AH475" s="1"/>
      <c r="AI475" s="1"/>
      <c r="AJ475" s="1"/>
      <c r="AK475" s="1"/>
      <c r="AL475" s="1"/>
      <c r="AM475" s="1"/>
      <c r="AN475" s="1"/>
      <c r="AO475" s="1"/>
      <c r="AP475" s="1"/>
      <c r="AQ475" s="1">
        <v>43389.25</v>
      </c>
      <c r="AR475" s="1">
        <v>43502.25</v>
      </c>
      <c r="AS475" s="1"/>
      <c r="AT475" s="1"/>
      <c r="AU475" s="1"/>
      <c r="AV475" s="1">
        <v>43503.25</v>
      </c>
      <c r="AW475" s="1"/>
      <c r="AX475" s="1"/>
      <c r="AY475" s="1"/>
      <c r="AZ475" s="1">
        <v>43504.25</v>
      </c>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row>
    <row r="476" spans="1:216" x14ac:dyDescent="0.3">
      <c r="A476" s="3" t="str">
        <f>HYPERLINK("https://hpr-rps.hres.ca/reg-content/summary-basis-decision-detailTwo.php?lang=en&amp;linkID=SBD00487", "Ruxience")</f>
        <v>Ruxience</v>
      </c>
      <c r="B476" s="1" t="s">
        <v>1217</v>
      </c>
      <c r="C476" s="1" t="s">
        <v>1091</v>
      </c>
      <c r="D476" s="1" t="s">
        <v>1218</v>
      </c>
      <c r="E476" s="1">
        <v>43320.25</v>
      </c>
      <c r="F476" s="1"/>
      <c r="G476" s="1"/>
      <c r="H476" s="1">
        <v>43502.25</v>
      </c>
      <c r="I476" s="1"/>
      <c r="J476" s="1"/>
      <c r="K476" s="1"/>
      <c r="L476" s="1"/>
      <c r="M476" s="1"/>
      <c r="N476" s="1"/>
      <c r="O476" s="1"/>
      <c r="P476" s="1"/>
      <c r="Q476" s="1"/>
      <c r="R476" s="1"/>
      <c r="S476" s="1"/>
      <c r="T476" s="1"/>
      <c r="U476" s="1"/>
      <c r="V476" s="1"/>
      <c r="W476" s="1"/>
      <c r="X476" s="1"/>
      <c r="Y476" s="1"/>
      <c r="Z476" s="1"/>
      <c r="AA476" s="1"/>
      <c r="AB476" s="1"/>
      <c r="AC476" s="1"/>
      <c r="AD476" s="1"/>
      <c r="AE476" s="1"/>
      <c r="AF476" s="1">
        <v>43549.208333333343</v>
      </c>
      <c r="AG476" s="1"/>
      <c r="AH476" s="1"/>
      <c r="AI476" s="1"/>
      <c r="AJ476" s="1"/>
      <c r="AK476" s="1"/>
      <c r="AL476" s="1"/>
      <c r="AM476" s="1"/>
      <c r="AN476" s="1"/>
      <c r="AO476" s="1"/>
      <c r="AP476" s="1"/>
      <c r="AQ476" s="1">
        <v>43776.25</v>
      </c>
      <c r="AR476" s="1">
        <v>43844.25</v>
      </c>
      <c r="AS476" s="1"/>
      <c r="AT476" s="1"/>
      <c r="AU476" s="1"/>
      <c r="AV476" s="1">
        <v>43839.25</v>
      </c>
      <c r="AW476" s="1"/>
      <c r="AX476" s="1"/>
      <c r="AY476" s="1"/>
      <c r="AZ476" s="1">
        <v>43822.25</v>
      </c>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row>
    <row r="477" spans="1:216" x14ac:dyDescent="0.3">
      <c r="A477" s="3" t="str">
        <f>HYPERLINK("https://hpr-rps.hres.ca/reg-content/summary-basis-decision-detailTwo.php?lang=en&amp;linkID=SBD00499", "Polivy")</f>
        <v>Polivy</v>
      </c>
      <c r="B477" s="1" t="s">
        <v>1219</v>
      </c>
      <c r="C477" s="1" t="s">
        <v>1220</v>
      </c>
      <c r="D477" s="1" t="s">
        <v>1221</v>
      </c>
      <c r="E477" s="1">
        <v>43488.25</v>
      </c>
      <c r="F477" s="1"/>
      <c r="G477" s="1"/>
      <c r="H477" s="1"/>
      <c r="I477" s="1"/>
      <c r="J477" s="1"/>
      <c r="K477" s="1"/>
      <c r="L477" s="1"/>
      <c r="M477" s="1"/>
      <c r="N477" s="1">
        <v>43532.25</v>
      </c>
      <c r="O477" s="1">
        <v>43740.25</v>
      </c>
      <c r="P477" s="1"/>
      <c r="Q477" s="1"/>
      <c r="R477" s="1"/>
      <c r="S477" s="1"/>
      <c r="T477" s="1">
        <v>43560.25</v>
      </c>
      <c r="U477" s="1"/>
      <c r="V477" s="1">
        <v>43742.25</v>
      </c>
      <c r="W477" s="1"/>
      <c r="X477" s="1"/>
      <c r="Y477" s="1"/>
      <c r="Z477" s="1"/>
      <c r="AA477" s="1"/>
      <c r="AB477" s="1"/>
      <c r="AC477" s="1"/>
      <c r="AD477" s="1"/>
      <c r="AE477" s="1"/>
      <c r="AF477" s="1">
        <v>43777.25</v>
      </c>
      <c r="AG477" s="1"/>
      <c r="AH477" s="1"/>
      <c r="AI477" s="1"/>
      <c r="AJ477" s="1"/>
      <c r="AK477" s="1"/>
      <c r="AL477" s="1"/>
      <c r="AM477" s="1"/>
      <c r="AN477" s="1"/>
      <c r="AO477" s="1"/>
      <c r="AP477" s="1"/>
      <c r="AQ477" s="1">
        <v>43945.25</v>
      </c>
      <c r="AR477" s="1">
        <v>43976.25</v>
      </c>
      <c r="AS477" s="1"/>
      <c r="AT477" s="1"/>
      <c r="AU477" s="1">
        <v>43973.25</v>
      </c>
      <c r="AV477" s="1">
        <v>43965.25</v>
      </c>
      <c r="AW477" s="1"/>
      <c r="AX477" s="1"/>
      <c r="AY477" s="1"/>
      <c r="AZ477" s="1"/>
      <c r="BA477" s="1"/>
      <c r="BB477" s="1"/>
      <c r="BC477" s="1"/>
      <c r="BD477" s="1"/>
      <c r="BE477" s="1"/>
      <c r="BF477" s="1"/>
      <c r="BG477" s="1"/>
      <c r="BH477" s="1"/>
      <c r="BI477" s="1"/>
      <c r="BJ477" s="1"/>
      <c r="BK477" s="1"/>
      <c r="BL477" s="1">
        <v>43977.25</v>
      </c>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v>44012.25</v>
      </c>
      <c r="CQ477" s="1"/>
      <c r="CR477" s="1"/>
      <c r="CS477" s="1"/>
      <c r="CT477" s="1"/>
      <c r="CU477" s="1"/>
      <c r="CV477" s="1"/>
      <c r="CW477" s="1"/>
      <c r="CX477" s="1"/>
      <c r="CY477" s="1"/>
      <c r="CZ477" s="1"/>
      <c r="DA477" s="1"/>
      <c r="DB477" s="1"/>
      <c r="DC477" s="1"/>
      <c r="DD477" s="1"/>
      <c r="DE477" s="1"/>
      <c r="DF477" s="1"/>
      <c r="DG477" s="1">
        <v>44021.25</v>
      </c>
      <c r="DH477" s="1"/>
      <c r="DI477" s="1"/>
      <c r="DJ477" s="1"/>
      <c r="DK477" s="1"/>
      <c r="DL477" s="1"/>
      <c r="DM477" s="1"/>
      <c r="DN477" s="1"/>
      <c r="DO477" s="1"/>
      <c r="DP477" s="1"/>
      <c r="DQ477" s="1"/>
      <c r="DR477" s="1"/>
      <c r="DS477" s="1"/>
      <c r="DT477" s="1">
        <v>43998.25</v>
      </c>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row>
    <row r="478" spans="1:216" x14ac:dyDescent="0.3">
      <c r="A478" s="3" t="str">
        <f>HYPERLINK("https://hpr-rps.hres.ca/reg-content/summary-basis-decision-detailTwo.php?lang=en&amp;linkID=SBD00488", "Ziextenzo")</f>
        <v>Ziextenzo</v>
      </c>
      <c r="B478" s="1" t="s">
        <v>1017</v>
      </c>
      <c r="C478" s="1" t="s">
        <v>1222</v>
      </c>
      <c r="D478" s="1" t="s">
        <v>1223</v>
      </c>
      <c r="E478" s="1"/>
      <c r="F478" s="1"/>
      <c r="G478" s="1"/>
      <c r="H478" s="1">
        <v>43563.25</v>
      </c>
      <c r="I478" s="1"/>
      <c r="J478" s="1"/>
      <c r="K478" s="1"/>
      <c r="L478" s="1"/>
      <c r="M478" s="1"/>
      <c r="N478" s="1"/>
      <c r="O478" s="1"/>
      <c r="P478" s="1"/>
      <c r="Q478" s="1"/>
      <c r="R478" s="1"/>
      <c r="S478" s="1"/>
      <c r="T478" s="1"/>
      <c r="U478" s="1"/>
      <c r="V478" s="1"/>
      <c r="W478" s="1"/>
      <c r="X478" s="1"/>
      <c r="Y478" s="1"/>
      <c r="Z478" s="1"/>
      <c r="AA478" s="1"/>
      <c r="AB478" s="1"/>
      <c r="AC478" s="1"/>
      <c r="AD478" s="1"/>
      <c r="AE478" s="1"/>
      <c r="AF478" s="1">
        <v>43612.25</v>
      </c>
      <c r="AG478" s="1"/>
      <c r="AH478" s="1"/>
      <c r="AI478" s="1"/>
      <c r="AJ478" s="1"/>
      <c r="AK478" s="1"/>
      <c r="AL478" s="1"/>
      <c r="AM478" s="1"/>
      <c r="AN478" s="1"/>
      <c r="AO478" s="1"/>
      <c r="AP478" s="1"/>
      <c r="AQ478" s="1">
        <v>43851.25</v>
      </c>
      <c r="AR478" s="1">
        <v>43912.208333333343</v>
      </c>
      <c r="AS478" s="1"/>
      <c r="AT478" s="1"/>
      <c r="AU478" s="1"/>
      <c r="AV478" s="1">
        <v>43912.208333333343</v>
      </c>
      <c r="AW478" s="1"/>
      <c r="AX478" s="1"/>
      <c r="AY478" s="1"/>
      <c r="AZ478" s="1">
        <v>43912.208333333343</v>
      </c>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row>
    <row r="479" spans="1:216" x14ac:dyDescent="0.3">
      <c r="A479" s="3" t="str">
        <f>HYPERLINK("https://hpr-rps.hres.ca/reg-content/summary-basis-decision-detailTwo.php?lang=en&amp;linkID=SBD00489", "Beovu")</f>
        <v>Beovu</v>
      </c>
      <c r="B479" s="1" t="s">
        <v>1224</v>
      </c>
      <c r="C479" s="1" t="s">
        <v>87</v>
      </c>
      <c r="D479" s="1" t="s">
        <v>1225</v>
      </c>
      <c r="E479" s="1">
        <v>43342.25</v>
      </c>
      <c r="F479" s="1"/>
      <c r="G479" s="1"/>
      <c r="H479" s="1">
        <v>43550.208333333343</v>
      </c>
      <c r="I479" s="1"/>
      <c r="J479" s="1"/>
      <c r="K479" s="1"/>
      <c r="L479" s="1"/>
      <c r="M479" s="1"/>
      <c r="N479" s="1"/>
      <c r="O479" s="1"/>
      <c r="P479" s="1"/>
      <c r="Q479" s="1"/>
      <c r="R479" s="1"/>
      <c r="S479" s="1"/>
      <c r="T479" s="1"/>
      <c r="U479" s="1"/>
      <c r="V479" s="1"/>
      <c r="W479" s="1"/>
      <c r="X479" s="1"/>
      <c r="Y479" s="1"/>
      <c r="Z479" s="1"/>
      <c r="AA479" s="1"/>
      <c r="AB479" s="1"/>
      <c r="AC479" s="1"/>
      <c r="AD479" s="1"/>
      <c r="AE479" s="1"/>
      <c r="AF479" s="1">
        <v>43602.25</v>
      </c>
      <c r="AG479" s="1"/>
      <c r="AH479" s="1"/>
      <c r="AI479" s="1"/>
      <c r="AJ479" s="1"/>
      <c r="AK479" s="1"/>
      <c r="AL479" s="1"/>
      <c r="AM479" s="1"/>
      <c r="AN479" s="1"/>
      <c r="AO479" s="1"/>
      <c r="AP479" s="1"/>
      <c r="AQ479" s="1">
        <v>43874.25</v>
      </c>
      <c r="AR479" s="1">
        <v>43901.208333333343</v>
      </c>
      <c r="AS479" s="1"/>
      <c r="AT479" s="1"/>
      <c r="AU479" s="1">
        <v>43899.208333333343</v>
      </c>
      <c r="AV479" s="1">
        <v>43864.25</v>
      </c>
      <c r="AW479" s="1"/>
      <c r="AX479" s="1"/>
      <c r="AY479" s="1"/>
      <c r="AZ479" s="1"/>
      <c r="BA479" s="1"/>
      <c r="BB479" s="1"/>
      <c r="BC479" s="1"/>
      <c r="BD479" s="1"/>
      <c r="BE479" s="1"/>
      <c r="BF479" s="1"/>
      <c r="BG479" s="1"/>
      <c r="BH479" s="1"/>
      <c r="BI479" s="1"/>
      <c r="BJ479" s="1"/>
      <c r="BK479" s="1"/>
      <c r="BL479" s="1"/>
      <c r="BM479" s="1">
        <v>43902.208333333343</v>
      </c>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row>
    <row r="480" spans="1:216" x14ac:dyDescent="0.3">
      <c r="A480" s="3" t="str">
        <f>HYPERLINK("https://hpr-rps.hres.ca/reg-content/summary-basis-decision-detailTwo.php?lang=en&amp;linkID=SBD00490", "Odomzo")</f>
        <v>Odomzo</v>
      </c>
      <c r="B480" s="1" t="s">
        <v>1226</v>
      </c>
      <c r="C480" s="1" t="s">
        <v>1227</v>
      </c>
      <c r="D480" s="1" t="s">
        <v>1228</v>
      </c>
      <c r="E480" s="1">
        <v>41781.25</v>
      </c>
      <c r="F480" s="1"/>
      <c r="G480" s="1"/>
      <c r="H480" s="1">
        <v>43650.25</v>
      </c>
      <c r="I480" s="1"/>
      <c r="J480" s="1"/>
      <c r="K480" s="1"/>
      <c r="L480" s="1"/>
      <c r="M480" s="1"/>
      <c r="N480" s="1"/>
      <c r="O480" s="1"/>
      <c r="P480" s="1"/>
      <c r="Q480" s="1"/>
      <c r="R480" s="1"/>
      <c r="S480" s="1"/>
      <c r="T480" s="1"/>
      <c r="U480" s="1"/>
      <c r="V480" s="1"/>
      <c r="W480" s="1"/>
      <c r="X480" s="1"/>
      <c r="Y480" s="1"/>
      <c r="Z480" s="1"/>
      <c r="AA480" s="1"/>
      <c r="AB480" s="1"/>
      <c r="AC480" s="1"/>
      <c r="AD480" s="1"/>
      <c r="AE480" s="1"/>
      <c r="AF480" s="1">
        <v>43697.25</v>
      </c>
      <c r="AG480" s="1"/>
      <c r="AH480" s="1"/>
      <c r="AI480" s="1"/>
      <c r="AJ480" s="1"/>
      <c r="AK480" s="1"/>
      <c r="AL480" s="1"/>
      <c r="AM480" s="1"/>
      <c r="AN480" s="1"/>
      <c r="AO480" s="1"/>
      <c r="AP480" s="1"/>
      <c r="AQ480" s="1">
        <v>43992.25</v>
      </c>
      <c r="AR480" s="1">
        <v>43993.25</v>
      </c>
      <c r="AS480" s="1">
        <v>43990.25</v>
      </c>
      <c r="AT480" s="1"/>
      <c r="AU480" s="1">
        <v>43993.25</v>
      </c>
      <c r="AV480" s="1">
        <v>43991.25</v>
      </c>
      <c r="AW480" s="1"/>
      <c r="AX480" s="1"/>
      <c r="AY480" s="1"/>
      <c r="AZ480" s="1"/>
      <c r="BA480" s="1"/>
      <c r="BB480" s="1"/>
      <c r="BC480" s="1"/>
      <c r="BD480" s="1"/>
      <c r="BE480" s="1"/>
      <c r="BF480" s="1"/>
      <c r="BG480" s="1"/>
      <c r="BH480" s="1"/>
      <c r="BI480" s="1"/>
      <c r="BJ480" s="1"/>
      <c r="BK480" s="1"/>
      <c r="BL480" s="1"/>
      <c r="BM480" s="1">
        <v>43994.25</v>
      </c>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row>
    <row r="481" spans="1:216" x14ac:dyDescent="0.3">
      <c r="A481" s="3" t="str">
        <f>HYPERLINK("https://hpr-rps.hres.ca/reg-content/summary-basis-decision-detailTwo.php?lang=en&amp;linkID=SBD00491", "Veklury")</f>
        <v>Veklury</v>
      </c>
      <c r="B481" s="1" t="s">
        <v>1229</v>
      </c>
      <c r="C481" s="1" t="s">
        <v>134</v>
      </c>
      <c r="D481" s="1" t="s">
        <v>1230</v>
      </c>
      <c r="E481" s="1">
        <v>43994.25</v>
      </c>
      <c r="F481" s="1"/>
      <c r="G481" s="1"/>
      <c r="H481" s="1">
        <v>44001.25</v>
      </c>
      <c r="I481" s="1"/>
      <c r="J481" s="1"/>
      <c r="K481" s="1"/>
      <c r="L481" s="1"/>
      <c r="M481" s="1"/>
      <c r="N481" s="1"/>
      <c r="O481" s="1"/>
      <c r="P481" s="1"/>
      <c r="Q481" s="1"/>
      <c r="R481" s="1"/>
      <c r="S481" s="1"/>
      <c r="T481" s="1"/>
      <c r="U481" s="1"/>
      <c r="V481" s="1"/>
      <c r="W481" s="1"/>
      <c r="X481" s="1"/>
      <c r="Y481" s="1"/>
      <c r="Z481" s="1"/>
      <c r="AA481" s="1"/>
      <c r="AB481" s="1"/>
      <c r="AC481" s="1"/>
      <c r="AD481" s="1"/>
      <c r="AE481" s="1"/>
      <c r="AF481" s="1">
        <v>44033.25</v>
      </c>
      <c r="AG481" s="1"/>
      <c r="AH481" s="1"/>
      <c r="AI481" s="1"/>
      <c r="AJ481" s="1"/>
      <c r="AK481" s="1"/>
      <c r="AL481" s="1"/>
      <c r="AM481" s="1"/>
      <c r="AN481" s="1"/>
      <c r="AO481" s="1"/>
      <c r="AP481" s="1"/>
      <c r="AQ481" s="1">
        <v>44033.25</v>
      </c>
      <c r="AR481" s="1">
        <v>44035.25</v>
      </c>
      <c r="AS481" s="1"/>
      <c r="AT481" s="1"/>
      <c r="AU481" s="1">
        <v>44034.25</v>
      </c>
      <c r="AV481" s="1">
        <v>44034.25</v>
      </c>
      <c r="AW481" s="1"/>
      <c r="AX481" s="1"/>
      <c r="AY481" s="1"/>
      <c r="AZ481" s="1"/>
      <c r="BA481" s="1"/>
      <c r="BB481" s="1"/>
      <c r="BC481" s="1"/>
      <c r="BD481" s="1"/>
      <c r="BE481" s="1"/>
      <c r="BF481" s="1"/>
      <c r="BG481" s="1"/>
      <c r="BH481" s="1"/>
      <c r="BI481" s="1"/>
      <c r="BJ481" s="1"/>
      <c r="BK481" s="1">
        <v>44036.25</v>
      </c>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v>44037.25</v>
      </c>
      <c r="CQ481" s="1">
        <v>44036.25</v>
      </c>
      <c r="CR481" s="1"/>
      <c r="CS481" s="1"/>
      <c r="CT481" s="1"/>
      <c r="CU481" s="1"/>
      <c r="CV481" s="1"/>
      <c r="CW481" s="1"/>
      <c r="CX481" s="1"/>
      <c r="CY481" s="1"/>
      <c r="CZ481" s="1"/>
      <c r="DA481" s="1"/>
      <c r="DB481" s="1"/>
      <c r="DC481" s="1"/>
      <c r="DD481" s="1"/>
      <c r="DE481" s="1"/>
      <c r="DF481" s="1"/>
      <c r="DG481" s="1">
        <v>44039.25</v>
      </c>
      <c r="DH481" s="1"/>
      <c r="DI481" s="1"/>
      <c r="DJ481" s="1"/>
      <c r="DK481" s="1"/>
      <c r="DL481" s="1"/>
      <c r="DM481" s="1"/>
      <c r="DN481" s="1"/>
      <c r="DO481" s="1"/>
      <c r="DP481" s="1"/>
      <c r="DQ481" s="1"/>
      <c r="DR481" s="1"/>
      <c r="DS481" s="1"/>
      <c r="DT481" s="1">
        <v>44036.25</v>
      </c>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row>
    <row r="482" spans="1:216" x14ac:dyDescent="0.3">
      <c r="A482" s="3" t="str">
        <f>HYPERLINK("https://hpr-rps.hres.ca/reg-content/summary-basis-decision-detailTwo.php?lang=en&amp;linkID=SBD00492", "Ibsrela")</f>
        <v>Ibsrela</v>
      </c>
      <c r="B482" s="1" t="s">
        <v>1231</v>
      </c>
      <c r="C482" s="1" t="s">
        <v>1020</v>
      </c>
      <c r="D482" s="1" t="s">
        <v>1232</v>
      </c>
      <c r="E482" s="1">
        <v>43419.25</v>
      </c>
      <c r="F482" s="1"/>
      <c r="G482" s="1"/>
      <c r="H482" s="1">
        <v>43522.25</v>
      </c>
      <c r="I482" s="1"/>
      <c r="J482" s="1"/>
      <c r="K482" s="1"/>
      <c r="L482" s="1"/>
      <c r="M482" s="1"/>
      <c r="N482" s="1"/>
      <c r="O482" s="1"/>
      <c r="P482" s="1"/>
      <c r="Q482" s="1"/>
      <c r="R482" s="1"/>
      <c r="S482" s="1"/>
      <c r="T482" s="1"/>
      <c r="U482" s="1"/>
      <c r="V482" s="1"/>
      <c r="W482" s="1"/>
      <c r="X482" s="1"/>
      <c r="Y482" s="1"/>
      <c r="Z482" s="1">
        <v>43572.25</v>
      </c>
      <c r="AA482" s="1"/>
      <c r="AB482" s="1"/>
      <c r="AC482" s="1">
        <v>43594.25</v>
      </c>
      <c r="AD482" s="1"/>
      <c r="AE482" s="1"/>
      <c r="AF482" s="1">
        <v>43636.25</v>
      </c>
      <c r="AG482" s="1"/>
      <c r="AH482" s="1"/>
      <c r="AI482" s="1"/>
      <c r="AJ482" s="1"/>
      <c r="AK482" s="1"/>
      <c r="AL482" s="1"/>
      <c r="AM482" s="1"/>
      <c r="AN482" s="1"/>
      <c r="AO482" s="1"/>
      <c r="AP482" s="1"/>
      <c r="AQ482" s="1">
        <v>43899.208333333343</v>
      </c>
      <c r="AR482" s="1">
        <v>43935.25</v>
      </c>
      <c r="AS482" s="1"/>
      <c r="AT482" s="1"/>
      <c r="AU482" s="1">
        <v>43928.25</v>
      </c>
      <c r="AV482" s="1">
        <v>43923.25</v>
      </c>
      <c r="AW482" s="1"/>
      <c r="AX482" s="1"/>
      <c r="AY482" s="1"/>
      <c r="AZ482" s="1"/>
      <c r="BA482" s="1"/>
      <c r="BB482" s="1"/>
      <c r="BC482" s="1"/>
      <c r="BD482" s="1"/>
      <c r="BE482" s="1"/>
      <c r="BF482" s="1"/>
      <c r="BG482" s="1"/>
      <c r="BH482" s="1"/>
      <c r="BI482" s="1"/>
      <c r="BJ482" s="1"/>
      <c r="BK482" s="1"/>
      <c r="BL482" s="1"/>
      <c r="BM482" s="1">
        <v>43936.25</v>
      </c>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row>
    <row r="483" spans="1:216" x14ac:dyDescent="0.3">
      <c r="A483" s="3" t="str">
        <f>HYPERLINK("https://hpr-rps.hres.ca/reg-content/summary-basis-decision-detailTwo.php?lang=en&amp;linkID=SBD00493", "Piqray")</f>
        <v>Piqray</v>
      </c>
      <c r="B483" s="1" t="s">
        <v>1233</v>
      </c>
      <c r="C483" s="1" t="s">
        <v>87</v>
      </c>
      <c r="D483" s="1" t="s">
        <v>1234</v>
      </c>
      <c r="E483" s="1">
        <v>43487.25</v>
      </c>
      <c r="F483" s="1"/>
      <c r="G483" s="1"/>
      <c r="H483" s="1">
        <v>43572.25</v>
      </c>
      <c r="I483" s="1"/>
      <c r="J483" s="1"/>
      <c r="K483" s="1"/>
      <c r="L483" s="1"/>
      <c r="M483" s="1"/>
      <c r="N483" s="1"/>
      <c r="O483" s="1"/>
      <c r="P483" s="1"/>
      <c r="Q483" s="1"/>
      <c r="R483" s="1"/>
      <c r="S483" s="1"/>
      <c r="T483" s="1"/>
      <c r="U483" s="1"/>
      <c r="V483" s="1"/>
      <c r="W483" s="1"/>
      <c r="X483" s="1"/>
      <c r="Y483" s="1"/>
      <c r="Z483" s="1"/>
      <c r="AA483" s="1"/>
      <c r="AB483" s="1"/>
      <c r="AC483" s="1"/>
      <c r="AD483" s="1"/>
      <c r="AE483" s="1"/>
      <c r="AF483" s="1">
        <v>43602.25</v>
      </c>
      <c r="AG483" s="1"/>
      <c r="AH483" s="1"/>
      <c r="AI483" s="1"/>
      <c r="AJ483" s="1"/>
      <c r="AK483" s="1"/>
      <c r="AL483" s="1"/>
      <c r="AM483" s="1"/>
      <c r="AN483" s="1"/>
      <c r="AO483" s="1"/>
      <c r="AP483" s="1"/>
      <c r="AQ483" s="1">
        <v>43866.25</v>
      </c>
      <c r="AR483" s="1">
        <v>43901.208333333343</v>
      </c>
      <c r="AS483" s="1">
        <v>43892.25</v>
      </c>
      <c r="AT483" s="1"/>
      <c r="AU483" s="1">
        <v>43901.208333333343</v>
      </c>
      <c r="AV483" s="1">
        <v>43900.208333333343</v>
      </c>
      <c r="AW483" s="1"/>
      <c r="AX483" s="1"/>
      <c r="AY483" s="1"/>
      <c r="AZ483" s="1"/>
      <c r="BA483" s="1"/>
      <c r="BB483" s="1"/>
      <c r="BC483" s="1"/>
      <c r="BD483" s="1"/>
      <c r="BE483" s="1"/>
      <c r="BF483" s="1"/>
      <c r="BG483" s="1"/>
      <c r="BH483" s="1"/>
      <c r="BI483" s="1"/>
      <c r="BJ483" s="1"/>
      <c r="BK483" s="1"/>
      <c r="BL483" s="1"/>
      <c r="BM483" s="1">
        <v>43901.208333333343</v>
      </c>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row>
    <row r="484" spans="1:216" x14ac:dyDescent="0.3">
      <c r="A484" s="3" t="str">
        <f>HYPERLINK("https://hpr-rps.hres.ca/reg-content/summary-basis-decision-detailTwo.php?lang=en&amp;linkID=SBD00494", "Riximyo")</f>
        <v>Riximyo</v>
      </c>
      <c r="B484" s="1" t="s">
        <v>1217</v>
      </c>
      <c r="C484" s="1" t="s">
        <v>934</v>
      </c>
      <c r="D484" s="1" t="s">
        <v>1235</v>
      </c>
      <c r="E484" s="1">
        <v>40884.25</v>
      </c>
      <c r="F484" s="1"/>
      <c r="G484" s="1"/>
      <c r="H484" s="1">
        <v>43154.25</v>
      </c>
      <c r="I484" s="1"/>
      <c r="J484" s="1"/>
      <c r="K484" s="1"/>
      <c r="L484" s="1"/>
      <c r="M484" s="1"/>
      <c r="N484" s="1"/>
      <c r="O484" s="1"/>
      <c r="P484" s="1"/>
      <c r="Q484" s="1"/>
      <c r="R484" s="1"/>
      <c r="S484" s="1"/>
      <c r="T484" s="1"/>
      <c r="U484" s="1"/>
      <c r="V484" s="1"/>
      <c r="W484" s="1"/>
      <c r="X484" s="1"/>
      <c r="Y484" s="1"/>
      <c r="Z484" s="1"/>
      <c r="AA484" s="1"/>
      <c r="AB484" s="1"/>
      <c r="AC484" s="1"/>
      <c r="AD484" s="1"/>
      <c r="AE484" s="1"/>
      <c r="AF484" s="1">
        <v>43210.25</v>
      </c>
      <c r="AG484" s="1"/>
      <c r="AH484" s="1"/>
      <c r="AI484" s="1"/>
      <c r="AJ484" s="1"/>
      <c r="AK484" s="1"/>
      <c r="AL484" s="1"/>
      <c r="AM484" s="1"/>
      <c r="AN484" s="1"/>
      <c r="AO484" s="1"/>
      <c r="AP484" s="1"/>
      <c r="AQ484" s="1">
        <v>43423.25</v>
      </c>
      <c r="AR484" s="1"/>
      <c r="AS484" s="1"/>
      <c r="AT484" s="1"/>
      <c r="AU484" s="1"/>
      <c r="AV484" s="1">
        <v>43458.25</v>
      </c>
      <c r="AW484" s="1"/>
      <c r="AX484" s="1"/>
      <c r="AY484" s="1"/>
      <c r="AZ484" s="1">
        <v>43451.25</v>
      </c>
      <c r="BA484" s="1"/>
      <c r="BB484" s="1"/>
      <c r="BC484" s="1"/>
      <c r="BD484" s="1"/>
      <c r="BE484" s="1"/>
      <c r="BF484" s="1"/>
      <c r="BG484" s="1"/>
      <c r="BH484" s="1"/>
      <c r="BI484" s="1"/>
      <c r="BJ484" s="1"/>
      <c r="BK484" s="1"/>
      <c r="BL484" s="1"/>
      <c r="BM484" s="1"/>
      <c r="BN484" s="1"/>
      <c r="BO484" s="1"/>
      <c r="BP484" s="1">
        <v>43462.25</v>
      </c>
      <c r="BQ484" s="1"/>
      <c r="BR484" s="1"/>
      <c r="BS484" s="1"/>
      <c r="BT484" s="1"/>
      <c r="BU484" s="1"/>
      <c r="BV484" s="1"/>
      <c r="BW484" s="1"/>
      <c r="BX484" s="1"/>
      <c r="BY484" s="1">
        <v>43644.25</v>
      </c>
      <c r="BZ484" s="1"/>
      <c r="CA484" s="1"/>
      <c r="CB484" s="1"/>
      <c r="CC484" s="1"/>
      <c r="CD484" s="1"/>
      <c r="CE484" s="1"/>
      <c r="CF484" s="1"/>
      <c r="CG484" s="1"/>
      <c r="CH484" s="1"/>
      <c r="CI484" s="1"/>
      <c r="CJ484" s="1"/>
      <c r="CK484" s="1"/>
      <c r="CL484" s="1"/>
      <c r="CM484" s="1"/>
      <c r="CN484" s="1"/>
      <c r="CO484" s="1"/>
      <c r="CP484" s="1"/>
      <c r="CQ484" s="1"/>
      <c r="CR484" s="1">
        <v>43651.25</v>
      </c>
      <c r="CS484" s="1"/>
      <c r="CT484" s="1"/>
      <c r="CU484" s="1"/>
      <c r="CV484" s="1"/>
      <c r="CW484" s="1"/>
      <c r="CX484" s="1"/>
      <c r="CY484" s="1"/>
      <c r="CZ484" s="1"/>
      <c r="DA484" s="1"/>
      <c r="DB484" s="1"/>
      <c r="DC484" s="1">
        <v>43894.25</v>
      </c>
      <c r="DD484" s="1"/>
      <c r="DE484" s="1"/>
      <c r="DF484" s="1"/>
      <c r="DG484" s="1"/>
      <c r="DH484" s="1">
        <v>43945.25</v>
      </c>
      <c r="DI484" s="1"/>
      <c r="DJ484" s="1"/>
      <c r="DK484" s="1"/>
      <c r="DL484" s="1">
        <v>43928.25</v>
      </c>
      <c r="DM484" s="1"/>
      <c r="DN484" s="1"/>
      <c r="DO484" s="1"/>
      <c r="DP484" s="1"/>
      <c r="DQ484" s="1"/>
      <c r="DR484" s="1"/>
      <c r="DS484" s="1"/>
      <c r="DT484" s="1"/>
      <c r="DU484" s="1"/>
      <c r="DV484" s="1"/>
      <c r="DW484" s="1"/>
      <c r="DX484" s="1"/>
      <c r="DY484" s="1">
        <v>43949.25</v>
      </c>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row>
    <row r="485" spans="1:216" x14ac:dyDescent="0.3">
      <c r="A485" s="3" t="str">
        <f>HYPERLINK("https://hpr-rps.hres.ca/reg-content/summary-basis-decision-detailTwo.php?lang=en&amp;linkID=SBD00495", "Enspryng")</f>
        <v>Enspryng</v>
      </c>
      <c r="B485" s="1" t="s">
        <v>1236</v>
      </c>
      <c r="C485" s="1" t="s">
        <v>1220</v>
      </c>
      <c r="D485" s="1" t="s">
        <v>1237</v>
      </c>
      <c r="E485" s="1">
        <v>43704.25</v>
      </c>
      <c r="F485" s="1"/>
      <c r="G485" s="1"/>
      <c r="H485" s="1"/>
      <c r="I485" s="1"/>
      <c r="J485" s="1"/>
      <c r="K485" s="1"/>
      <c r="L485" s="1"/>
      <c r="M485" s="1"/>
      <c r="N485" s="1">
        <v>43714.25</v>
      </c>
      <c r="O485" s="1"/>
      <c r="P485" s="1"/>
      <c r="Q485" s="1"/>
      <c r="R485" s="1"/>
      <c r="S485" s="1">
        <v>43725.25</v>
      </c>
      <c r="T485" s="1"/>
      <c r="U485" s="1"/>
      <c r="V485" s="1">
        <v>43784.25</v>
      </c>
      <c r="W485" s="1"/>
      <c r="X485" s="1"/>
      <c r="Y485" s="1"/>
      <c r="Z485" s="1"/>
      <c r="AA485" s="1"/>
      <c r="AB485" s="1"/>
      <c r="AC485" s="1"/>
      <c r="AD485" s="1"/>
      <c r="AE485" s="1"/>
      <c r="AF485" s="1">
        <v>43803.25</v>
      </c>
      <c r="AG485" s="1"/>
      <c r="AH485" s="1"/>
      <c r="AI485" s="1"/>
      <c r="AJ485" s="1"/>
      <c r="AK485" s="1"/>
      <c r="AL485" s="1"/>
      <c r="AM485" s="1"/>
      <c r="AN485" s="1"/>
      <c r="AO485" s="1"/>
      <c r="AP485" s="1"/>
      <c r="AQ485" s="1">
        <v>43920.25</v>
      </c>
      <c r="AR485" s="1">
        <v>43980.25</v>
      </c>
      <c r="AS485" s="1"/>
      <c r="AT485" s="1"/>
      <c r="AU485" s="1">
        <v>43983.25</v>
      </c>
      <c r="AV485" s="1">
        <v>43980.25</v>
      </c>
      <c r="AW485" s="1"/>
      <c r="AX485" s="1"/>
      <c r="AY485" s="1"/>
      <c r="AZ485" s="1"/>
      <c r="BA485" s="1"/>
      <c r="BB485" s="1"/>
      <c r="BC485" s="1"/>
      <c r="BD485" s="1"/>
      <c r="BE485" s="1"/>
      <c r="BF485" s="1"/>
      <c r="BG485" s="1"/>
      <c r="BH485" s="1"/>
      <c r="BI485" s="1"/>
      <c r="BJ485" s="1"/>
      <c r="BK485" s="1"/>
      <c r="BL485" s="1"/>
      <c r="BM485" s="1">
        <v>43983.25</v>
      </c>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row>
    <row r="486" spans="1:216" x14ac:dyDescent="0.3">
      <c r="A486" s="3" t="str">
        <f>HYPERLINK("https://hpr-rps.hres.ca/reg-content/summary-basis-decision-detailTwo.php?lang=en&amp;linkID=SBD00496", "Inqovi")</f>
        <v>Inqovi</v>
      </c>
      <c r="B486" s="1" t="s">
        <v>1238</v>
      </c>
      <c r="C486" s="1" t="s">
        <v>916</v>
      </c>
      <c r="D486" s="1" t="s">
        <v>1239</v>
      </c>
      <c r="E486" s="1">
        <v>43419.25</v>
      </c>
      <c r="F486" s="1"/>
      <c r="G486" s="1"/>
      <c r="H486" s="1">
        <v>43830.25</v>
      </c>
      <c r="I486" s="1"/>
      <c r="J486" s="1"/>
      <c r="K486" s="1"/>
      <c r="L486" s="1"/>
      <c r="M486" s="1"/>
      <c r="N486" s="1"/>
      <c r="O486" s="1"/>
      <c r="P486" s="1"/>
      <c r="Q486" s="1"/>
      <c r="R486" s="1"/>
      <c r="S486" s="1"/>
      <c r="T486" s="1"/>
      <c r="U486" s="1"/>
      <c r="V486" s="1"/>
      <c r="W486" s="1"/>
      <c r="X486" s="1"/>
      <c r="Y486" s="1"/>
      <c r="Z486" s="1">
        <v>43852.25</v>
      </c>
      <c r="AA486" s="1"/>
      <c r="AB486" s="1"/>
      <c r="AC486" s="1">
        <v>43854.25</v>
      </c>
      <c r="AD486" s="1"/>
      <c r="AE486" s="1"/>
      <c r="AF486" s="1">
        <v>43857.25</v>
      </c>
      <c r="AG486" s="1"/>
      <c r="AH486" s="1"/>
      <c r="AI486" s="1"/>
      <c r="AJ486" s="1"/>
      <c r="AK486" s="1"/>
      <c r="AL486" s="1"/>
      <c r="AM486" s="1"/>
      <c r="AN486" s="1"/>
      <c r="AO486" s="1"/>
      <c r="AP486" s="1"/>
      <c r="AQ486" s="1">
        <v>43992.25</v>
      </c>
      <c r="AR486" s="1">
        <v>44018.25</v>
      </c>
      <c r="AS486" s="1">
        <v>44018.25</v>
      </c>
      <c r="AT486" s="1"/>
      <c r="AU486" s="1">
        <v>44018.25</v>
      </c>
      <c r="AV486" s="1">
        <v>44008.25</v>
      </c>
      <c r="AW486" s="1"/>
      <c r="AX486" s="1"/>
      <c r="AY486" s="1"/>
      <c r="AZ486" s="1"/>
      <c r="BA486" s="1"/>
      <c r="BB486" s="1"/>
      <c r="BC486" s="1"/>
      <c r="BD486" s="1"/>
      <c r="BE486" s="1"/>
      <c r="BF486" s="1"/>
      <c r="BG486" s="1"/>
      <c r="BH486" s="1"/>
      <c r="BI486" s="1"/>
      <c r="BJ486" s="1"/>
      <c r="BK486" s="1"/>
      <c r="BL486" s="1"/>
      <c r="BM486" s="1">
        <v>44019.25</v>
      </c>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row>
    <row r="487" spans="1:216" x14ac:dyDescent="0.3">
      <c r="A487" s="3" t="str">
        <f>HYPERLINK("https://hpr-rps.hres.ca/reg-content/summary-basis-decision-detailTwo.php?lang=en&amp;linkID=SBD00497", "Qinlock")</f>
        <v>Qinlock</v>
      </c>
      <c r="B487" s="1" t="s">
        <v>1240</v>
      </c>
      <c r="C487" s="1" t="s">
        <v>1241</v>
      </c>
      <c r="D487" s="1" t="s">
        <v>1242</v>
      </c>
      <c r="E487" s="1"/>
      <c r="F487" s="1"/>
      <c r="G487" s="1"/>
      <c r="H487" s="1"/>
      <c r="I487" s="1"/>
      <c r="J487" s="1"/>
      <c r="K487" s="1"/>
      <c r="L487" s="1"/>
      <c r="M487" s="1"/>
      <c r="N487" s="1">
        <v>43803.25</v>
      </c>
      <c r="O487" s="1"/>
      <c r="P487" s="1"/>
      <c r="Q487" s="1"/>
      <c r="R487" s="1"/>
      <c r="S487" s="1">
        <v>43837.25</v>
      </c>
      <c r="T487" s="1"/>
      <c r="U487" s="1"/>
      <c r="V487" s="1">
        <v>43822.25</v>
      </c>
      <c r="W487" s="1"/>
      <c r="X487" s="1"/>
      <c r="Y487" s="1"/>
      <c r="Z487" s="1">
        <v>43843.25</v>
      </c>
      <c r="AA487" s="1"/>
      <c r="AB487" s="1"/>
      <c r="AC487" s="1">
        <v>43860.25</v>
      </c>
      <c r="AD487" s="1"/>
      <c r="AE487" s="1"/>
      <c r="AF487" s="1">
        <v>43901.208333333343</v>
      </c>
      <c r="AG487" s="1"/>
      <c r="AH487" s="1"/>
      <c r="AI487" s="1"/>
      <c r="AJ487" s="1"/>
      <c r="AK487" s="1"/>
      <c r="AL487" s="1"/>
      <c r="AM487" s="1"/>
      <c r="AN487" s="1"/>
      <c r="AO487" s="1"/>
      <c r="AP487" s="1"/>
      <c r="AQ487" s="1">
        <v>43964.25</v>
      </c>
      <c r="AR487" s="1">
        <v>43966.25</v>
      </c>
      <c r="AS487" s="1"/>
      <c r="AT487" s="1"/>
      <c r="AU487" s="1">
        <v>44000.25</v>
      </c>
      <c r="AV487" s="1">
        <v>43991.25</v>
      </c>
      <c r="AW487" s="1"/>
      <c r="AX487" s="1">
        <v>43943.25</v>
      </c>
      <c r="AY487" s="1"/>
      <c r="AZ487" s="1"/>
      <c r="BA487" s="1"/>
      <c r="BB487" s="1"/>
      <c r="BC487" s="1"/>
      <c r="BD487" s="1"/>
      <c r="BE487" s="1"/>
      <c r="BF487" s="1"/>
      <c r="BG487" s="1"/>
      <c r="BH487" s="1"/>
      <c r="BI487" s="1"/>
      <c r="BJ487" s="1"/>
      <c r="BK487" s="1"/>
      <c r="BL487" s="1"/>
      <c r="BM487" s="1">
        <v>44001.25</v>
      </c>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row>
    <row r="488" spans="1:216" x14ac:dyDescent="0.3">
      <c r="A488" s="3" t="str">
        <f>HYPERLINK("https://hpr-rps.hres.ca/reg-content/summary-basis-decision-detailTwo.php?lang=en&amp;linkID=SBD00498", "Tukysa")</f>
        <v>Tukysa</v>
      </c>
      <c r="B488" s="1" t="s">
        <v>1243</v>
      </c>
      <c r="C488" s="1" t="s">
        <v>1244</v>
      </c>
      <c r="D488" s="1" t="s">
        <v>1245</v>
      </c>
      <c r="E488" s="1">
        <v>42997.25</v>
      </c>
      <c r="F488" s="1"/>
      <c r="G488" s="1"/>
      <c r="H488" s="1"/>
      <c r="I488" s="1"/>
      <c r="J488" s="1"/>
      <c r="K488" s="1"/>
      <c r="L488" s="1"/>
      <c r="M488" s="1"/>
      <c r="N488" s="1">
        <v>43811.25</v>
      </c>
      <c r="O488" s="1"/>
      <c r="P488" s="1"/>
      <c r="Q488" s="1"/>
      <c r="R488" s="1"/>
      <c r="S488" s="1">
        <v>43851.25</v>
      </c>
      <c r="T488" s="1"/>
      <c r="U488" s="1"/>
      <c r="V488" s="1">
        <v>43850.25</v>
      </c>
      <c r="W488" s="1"/>
      <c r="X488" s="1"/>
      <c r="Y488" s="1"/>
      <c r="Z488" s="1">
        <v>43854.25</v>
      </c>
      <c r="AA488" s="1"/>
      <c r="AB488" s="1"/>
      <c r="AC488" s="1">
        <v>43861.25</v>
      </c>
      <c r="AD488" s="1"/>
      <c r="AE488" s="1"/>
      <c r="AF488" s="1">
        <v>43868.25</v>
      </c>
      <c r="AG488" s="1"/>
      <c r="AH488" s="1"/>
      <c r="AI488" s="1"/>
      <c r="AJ488" s="1"/>
      <c r="AK488" s="1"/>
      <c r="AL488" s="1"/>
      <c r="AM488" s="1"/>
      <c r="AN488" s="1"/>
      <c r="AO488" s="1"/>
      <c r="AP488" s="1"/>
      <c r="AQ488" s="1">
        <v>43952.25</v>
      </c>
      <c r="AR488" s="1">
        <v>43942.25</v>
      </c>
      <c r="AS488" s="1"/>
      <c r="AT488" s="1"/>
      <c r="AU488" s="1">
        <v>43984.25</v>
      </c>
      <c r="AV488" s="1">
        <v>43958.25</v>
      </c>
      <c r="AW488" s="1"/>
      <c r="AX488" s="1">
        <v>43938.25</v>
      </c>
      <c r="AY488" s="1"/>
      <c r="AZ488" s="1"/>
      <c r="BA488" s="1"/>
      <c r="BB488" s="1"/>
      <c r="BC488" s="1"/>
      <c r="BD488" s="1"/>
      <c r="BE488" s="1"/>
      <c r="BF488" s="1"/>
      <c r="BG488" s="1"/>
      <c r="BH488" s="1"/>
      <c r="BI488" s="1"/>
      <c r="BJ488" s="1"/>
      <c r="BK488" s="1"/>
      <c r="BL488" s="1"/>
      <c r="BM488" s="1">
        <v>43987.25</v>
      </c>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row>
    <row r="489" spans="1:216" x14ac:dyDescent="0.3">
      <c r="A489" s="3" t="str">
        <f>HYPERLINK("https://hpr-rps.hres.ca/reg-content/summary-basis-decision-detailTwo.php?lang=en&amp;linkID=SBD00500", "Tomvi")</f>
        <v>Tomvi</v>
      </c>
      <c r="B489" s="1" t="s">
        <v>1246</v>
      </c>
      <c r="C489" s="1" t="s">
        <v>1247</v>
      </c>
      <c r="D489" s="1" t="s">
        <v>1248</v>
      </c>
      <c r="E489" s="1">
        <v>43425.25</v>
      </c>
      <c r="F489" s="1"/>
      <c r="G489" s="1"/>
      <c r="H489" s="1">
        <v>43705.25</v>
      </c>
      <c r="I489" s="1"/>
      <c r="J489" s="1"/>
      <c r="K489" s="1"/>
      <c r="L489" s="1"/>
      <c r="M489" s="1"/>
      <c r="N489" s="1"/>
      <c r="O489" s="1"/>
      <c r="P489" s="1"/>
      <c r="Q489" s="1"/>
      <c r="R489" s="1"/>
      <c r="S489" s="1"/>
      <c r="T489" s="1"/>
      <c r="U489" s="1"/>
      <c r="V489" s="1"/>
      <c r="W489" s="1"/>
      <c r="X489" s="1"/>
      <c r="Y489" s="1"/>
      <c r="Z489" s="1">
        <v>43756.25</v>
      </c>
      <c r="AA489" s="1"/>
      <c r="AB489" s="1"/>
      <c r="AC489" s="1">
        <v>43783.25</v>
      </c>
      <c r="AD489" s="1"/>
      <c r="AE489" s="1"/>
      <c r="AF489" s="1">
        <v>43823.25</v>
      </c>
      <c r="AG489" s="1"/>
      <c r="AH489" s="1"/>
      <c r="AI489" s="1"/>
      <c r="AJ489" s="1"/>
      <c r="AK489" s="1"/>
      <c r="AL489" s="1"/>
      <c r="AM489" s="1"/>
      <c r="AN489" s="1"/>
      <c r="AO489" s="1"/>
      <c r="AP489" s="1"/>
      <c r="AQ489" s="1">
        <v>44012.25</v>
      </c>
      <c r="AR489" s="1">
        <v>44000.25</v>
      </c>
      <c r="AS489" s="1"/>
      <c r="AT489" s="1"/>
      <c r="AU489" s="1">
        <v>44026.25</v>
      </c>
      <c r="AV489" s="1">
        <v>44012.25</v>
      </c>
      <c r="AW489" s="1"/>
      <c r="AX489" s="1"/>
      <c r="AY489" s="1"/>
      <c r="AZ489" s="1"/>
      <c r="BA489" s="1"/>
      <c r="BB489" s="1"/>
      <c r="BC489" s="1"/>
      <c r="BD489" s="1"/>
      <c r="BE489" s="1"/>
      <c r="BF489" s="1"/>
      <c r="BG489" s="1"/>
      <c r="BH489" s="1"/>
      <c r="BI489" s="1"/>
      <c r="BJ489" s="1"/>
      <c r="BK489" s="1"/>
      <c r="BL489" s="1"/>
      <c r="BM489" s="1">
        <v>44027.25</v>
      </c>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row>
    <row r="490" spans="1:216" x14ac:dyDescent="0.3">
      <c r="A490" s="3" t="str">
        <f>HYPERLINK("https://hpr-rps.hres.ca/reg-content/summary-basis-decision-detailTwo.php?lang=en&amp;linkID=SBD00501", "Ruzurgi")</f>
        <v>Ruzurgi</v>
      </c>
      <c r="B490" s="1" t="s">
        <v>1249</v>
      </c>
      <c r="C490" s="1" t="s">
        <v>1250</v>
      </c>
      <c r="D490" s="1" t="s">
        <v>1251</v>
      </c>
      <c r="E490" s="1"/>
      <c r="F490" s="1"/>
      <c r="G490" s="1"/>
      <c r="H490" s="1"/>
      <c r="I490" s="1"/>
      <c r="J490" s="1"/>
      <c r="K490" s="1"/>
      <c r="L490" s="1"/>
      <c r="M490" s="1"/>
      <c r="N490" s="1">
        <v>43774.25</v>
      </c>
      <c r="O490" s="1"/>
      <c r="P490" s="1"/>
      <c r="Q490" s="1"/>
      <c r="R490" s="1"/>
      <c r="S490" s="1">
        <v>43804.25</v>
      </c>
      <c r="T490" s="1"/>
      <c r="U490" s="1"/>
      <c r="V490" s="1">
        <v>43819.25</v>
      </c>
      <c r="W490" s="1"/>
      <c r="X490" s="1"/>
      <c r="Y490" s="1"/>
      <c r="Z490" s="1">
        <v>43851.25</v>
      </c>
      <c r="AA490" s="1"/>
      <c r="AB490" s="1"/>
      <c r="AC490" s="1">
        <v>43857.25</v>
      </c>
      <c r="AD490" s="1"/>
      <c r="AE490" s="1"/>
      <c r="AF490" s="1">
        <v>43882.25</v>
      </c>
      <c r="AG490" s="1"/>
      <c r="AH490" s="1"/>
      <c r="AI490" s="1"/>
      <c r="AJ490" s="1"/>
      <c r="AK490" s="1"/>
      <c r="AL490" s="1"/>
      <c r="AM490" s="1"/>
      <c r="AN490" s="1"/>
      <c r="AO490" s="1"/>
      <c r="AP490" s="1"/>
      <c r="AQ490" s="1">
        <v>44042.25</v>
      </c>
      <c r="AR490" s="1">
        <v>44042.25</v>
      </c>
      <c r="AS490" s="1"/>
      <c r="AT490" s="1"/>
      <c r="AU490" s="1">
        <v>44047.25</v>
      </c>
      <c r="AV490" s="1">
        <v>44034.25</v>
      </c>
      <c r="AW490" s="1"/>
      <c r="AX490" s="1">
        <v>44026.25</v>
      </c>
      <c r="AY490" s="1"/>
      <c r="AZ490" s="1"/>
      <c r="BA490" s="1"/>
      <c r="BB490" s="1"/>
      <c r="BC490" s="1"/>
      <c r="BD490" s="1"/>
      <c r="BE490" s="1"/>
      <c r="BF490" s="1"/>
      <c r="BG490" s="1"/>
      <c r="BH490" s="1"/>
      <c r="BI490" s="1"/>
      <c r="BJ490" s="1"/>
      <c r="BK490" s="1"/>
      <c r="BL490" s="1"/>
      <c r="BM490" s="1">
        <v>44053.25</v>
      </c>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row>
    <row r="491" spans="1:216" x14ac:dyDescent="0.3">
      <c r="A491" s="3" t="str">
        <f>HYPERLINK("https://hpr-rps.hres.ca/reg-content/summary-basis-decision-detailTwo.php?lang=en&amp;linkID=SBD00502", "Inrebic")</f>
        <v>Inrebic</v>
      </c>
      <c r="B491" s="1" t="s">
        <v>1252</v>
      </c>
      <c r="C491" s="1" t="s">
        <v>665</v>
      </c>
      <c r="D491" s="1" t="s">
        <v>1253</v>
      </c>
      <c r="E491" s="1">
        <v>43550.208333333343</v>
      </c>
      <c r="F491" s="1"/>
      <c r="G491" s="1"/>
      <c r="H491" s="1">
        <v>43665.25</v>
      </c>
      <c r="I491" s="1"/>
      <c r="J491" s="1"/>
      <c r="K491" s="1"/>
      <c r="L491" s="1"/>
      <c r="M491" s="1"/>
      <c r="N491" s="1"/>
      <c r="O491" s="1"/>
      <c r="P491" s="1"/>
      <c r="Q491" s="1"/>
      <c r="R491" s="1"/>
      <c r="S491" s="1"/>
      <c r="T491" s="1"/>
      <c r="U491" s="1"/>
      <c r="V491" s="1"/>
      <c r="W491" s="1"/>
      <c r="X491" s="1"/>
      <c r="Y491" s="1"/>
      <c r="Z491" s="1">
        <v>43707.25</v>
      </c>
      <c r="AA491" s="1"/>
      <c r="AB491" s="1"/>
      <c r="AC491" s="1">
        <v>43747.25</v>
      </c>
      <c r="AD491" s="1"/>
      <c r="AE491" s="1"/>
      <c r="AF491" s="1">
        <v>43753.25</v>
      </c>
      <c r="AG491" s="1"/>
      <c r="AH491" s="1"/>
      <c r="AI491" s="1"/>
      <c r="AJ491" s="1"/>
      <c r="AK491" s="1"/>
      <c r="AL491" s="1"/>
      <c r="AM491" s="1"/>
      <c r="AN491" s="1"/>
      <c r="AO491" s="1"/>
      <c r="AP491" s="1"/>
      <c r="AQ491" s="1">
        <v>44012.25</v>
      </c>
      <c r="AR491" s="1">
        <v>44032.25</v>
      </c>
      <c r="AS491" s="1">
        <v>43983.25</v>
      </c>
      <c r="AT491" s="1"/>
      <c r="AU491" s="1">
        <v>44035.25</v>
      </c>
      <c r="AV491" s="1">
        <v>44027.25</v>
      </c>
      <c r="AW491" s="1"/>
      <c r="AX491" s="1">
        <v>43978.25</v>
      </c>
      <c r="AY491" s="1"/>
      <c r="AZ491" s="1"/>
      <c r="BA491" s="1"/>
      <c r="BB491" s="1"/>
      <c r="BC491" s="1"/>
      <c r="BD491" s="1"/>
      <c r="BE491" s="1"/>
      <c r="BF491" s="1"/>
      <c r="BG491" s="1"/>
      <c r="BH491" s="1"/>
      <c r="BI491" s="1"/>
      <c r="BJ491" s="1"/>
      <c r="BK491" s="1"/>
      <c r="BL491" s="1"/>
      <c r="BM491" s="1">
        <v>44039.25</v>
      </c>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row>
    <row r="492" spans="1:216" x14ac:dyDescent="0.3">
      <c r="A492" s="3" t="str">
        <f>HYPERLINK("https://hpr-rps.hres.ca/reg-content/summary-basis-decision-detailTwo.php?lang=en&amp;linkID=SBD00503", "Firdapse")</f>
        <v>Firdapse</v>
      </c>
      <c r="B492" s="1" t="s">
        <v>1254</v>
      </c>
      <c r="C492" s="1" t="s">
        <v>1255</v>
      </c>
      <c r="D492" s="1" t="s">
        <v>1256</v>
      </c>
      <c r="E492" s="1">
        <v>43592.25</v>
      </c>
      <c r="F492" s="1"/>
      <c r="G492" s="1"/>
      <c r="H492" s="1"/>
      <c r="I492" s="1"/>
      <c r="J492" s="1"/>
      <c r="K492" s="1"/>
      <c r="L492" s="1"/>
      <c r="M492" s="1"/>
      <c r="N492" s="1">
        <v>43693.25</v>
      </c>
      <c r="O492" s="1"/>
      <c r="P492" s="1"/>
      <c r="Q492" s="1"/>
      <c r="R492" s="1"/>
      <c r="S492" s="1">
        <v>43721.25</v>
      </c>
      <c r="T492" s="1"/>
      <c r="U492" s="1"/>
      <c r="V492" s="1">
        <v>43775.25</v>
      </c>
      <c r="W492" s="1"/>
      <c r="X492" s="1"/>
      <c r="Y492" s="1"/>
      <c r="Z492" s="1">
        <v>43796.25</v>
      </c>
      <c r="AA492" s="1"/>
      <c r="AB492" s="1"/>
      <c r="AC492" s="1">
        <v>43840.25</v>
      </c>
      <c r="AD492" s="1"/>
      <c r="AE492" s="1"/>
      <c r="AF492" s="1">
        <v>43868.25</v>
      </c>
      <c r="AG492" s="1"/>
      <c r="AH492" s="1"/>
      <c r="AI492" s="1"/>
      <c r="AJ492" s="1"/>
      <c r="AK492" s="1"/>
      <c r="AL492" s="1"/>
      <c r="AM492" s="1"/>
      <c r="AN492" s="1"/>
      <c r="AO492" s="1"/>
      <c r="AP492" s="1"/>
      <c r="AQ492" s="1">
        <v>44007.25</v>
      </c>
      <c r="AR492" s="1">
        <v>44042.25</v>
      </c>
      <c r="AS492" s="1">
        <v>43956.25</v>
      </c>
      <c r="AT492" s="1"/>
      <c r="AU492" s="1">
        <v>44043.25</v>
      </c>
      <c r="AV492" s="1">
        <v>44034.25</v>
      </c>
      <c r="AW492" s="1"/>
      <c r="AX492" s="1"/>
      <c r="AY492" s="1"/>
      <c r="AZ492" s="1"/>
      <c r="BA492" s="1"/>
      <c r="BB492" s="1"/>
      <c r="BC492" s="1"/>
      <c r="BD492" s="1"/>
      <c r="BE492" s="1"/>
      <c r="BF492" s="1"/>
      <c r="BG492" s="1"/>
      <c r="BH492" s="1"/>
      <c r="BI492" s="1"/>
      <c r="BJ492" s="1"/>
      <c r="BK492" s="1"/>
      <c r="BL492" s="1"/>
      <c r="BM492" s="1">
        <v>44043.25</v>
      </c>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row>
    <row r="493" spans="1:216" x14ac:dyDescent="0.3">
      <c r="A493" s="3" t="str">
        <f>HYPERLINK("https://hpr-rps.hres.ca/reg-content/summary-basis-decision-detailTwo.php?lang=en&amp;linkID=SBD00504", "Xenleta")</f>
        <v>Xenleta</v>
      </c>
      <c r="B493" s="1" t="s">
        <v>1257</v>
      </c>
      <c r="C493" s="1" t="s">
        <v>292</v>
      </c>
      <c r="D493" s="1" t="s">
        <v>1258</v>
      </c>
      <c r="E493" s="1">
        <v>43641.25</v>
      </c>
      <c r="F493" s="1"/>
      <c r="G493" s="1"/>
      <c r="H493" s="1"/>
      <c r="I493" s="1"/>
      <c r="J493" s="1"/>
      <c r="K493" s="1"/>
      <c r="L493" s="1"/>
      <c r="M493" s="1"/>
      <c r="N493" s="1">
        <v>43699.25</v>
      </c>
      <c r="O493" s="1"/>
      <c r="P493" s="1"/>
      <c r="Q493" s="1"/>
      <c r="R493" s="1"/>
      <c r="S493" s="1">
        <v>43727.25</v>
      </c>
      <c r="T493" s="1"/>
      <c r="U493" s="1"/>
      <c r="V493" s="1">
        <v>43776.25</v>
      </c>
      <c r="W493" s="1"/>
      <c r="X493" s="1"/>
      <c r="Y493" s="1"/>
      <c r="Z493" s="1">
        <v>43802.25</v>
      </c>
      <c r="AA493" s="1"/>
      <c r="AB493" s="1"/>
      <c r="AC493" s="1">
        <v>43817.25</v>
      </c>
      <c r="AD493" s="1"/>
      <c r="AE493" s="1"/>
      <c r="AF493" s="1">
        <v>43843.25</v>
      </c>
      <c r="AG493" s="1"/>
      <c r="AH493" s="1"/>
      <c r="AI493" s="1"/>
      <c r="AJ493" s="1"/>
      <c r="AK493" s="1"/>
      <c r="AL493" s="1"/>
      <c r="AM493" s="1"/>
      <c r="AN493" s="1"/>
      <c r="AO493" s="1"/>
      <c r="AP493" s="1"/>
      <c r="AQ493" s="1">
        <v>44008.25</v>
      </c>
      <c r="AR493" s="1">
        <v>44021.25</v>
      </c>
      <c r="AS493" s="1"/>
      <c r="AT493" s="1"/>
      <c r="AU493" s="1">
        <v>44022.25</v>
      </c>
      <c r="AV493" s="1">
        <v>44015.25</v>
      </c>
      <c r="AW493" s="1"/>
      <c r="AX493" s="1"/>
      <c r="AY493" s="1"/>
      <c r="AZ493" s="1"/>
      <c r="BA493" s="1"/>
      <c r="BB493" s="1"/>
      <c r="BC493" s="1"/>
      <c r="BD493" s="1"/>
      <c r="BE493" s="1"/>
      <c r="BF493" s="1"/>
      <c r="BG493" s="1"/>
      <c r="BH493" s="1"/>
      <c r="BI493" s="1"/>
      <c r="BJ493" s="1"/>
      <c r="BK493" s="1"/>
      <c r="BL493" s="1"/>
      <c r="BM493" s="1">
        <v>44022.25</v>
      </c>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row>
    <row r="494" spans="1:216" x14ac:dyDescent="0.3">
      <c r="A494" s="3" t="str">
        <f>HYPERLINK("https://hpr-rps.hres.ca/reg-content/summary-basis-decision-detailTwo.php?lang=en&amp;linkID=SBD00505", "Mar-Trientine")</f>
        <v>Mar-Trientine</v>
      </c>
      <c r="B494" s="1" t="s">
        <v>1259</v>
      </c>
      <c r="C494" s="1" t="s">
        <v>1260</v>
      </c>
      <c r="D494" s="1" t="s">
        <v>1261</v>
      </c>
      <c r="E494" s="1"/>
      <c r="F494" s="1"/>
      <c r="G494" s="1"/>
      <c r="H494" s="1">
        <v>43684.25</v>
      </c>
      <c r="I494" s="1"/>
      <c r="J494" s="1"/>
      <c r="K494" s="1"/>
      <c r="L494" s="1"/>
      <c r="M494" s="1"/>
      <c r="N494" s="1"/>
      <c r="O494" s="1"/>
      <c r="P494" s="1"/>
      <c r="Q494" s="1"/>
      <c r="R494" s="1"/>
      <c r="S494" s="1"/>
      <c r="T494" s="1"/>
      <c r="U494" s="1"/>
      <c r="V494" s="1"/>
      <c r="W494" s="1"/>
      <c r="X494" s="1"/>
      <c r="Y494" s="1"/>
      <c r="Z494" s="1">
        <v>43731.25</v>
      </c>
      <c r="AA494" s="1"/>
      <c r="AB494" s="1"/>
      <c r="AC494" s="1">
        <v>43768.208333333343</v>
      </c>
      <c r="AD494" s="1"/>
      <c r="AE494" s="1"/>
      <c r="AF494" s="1">
        <v>43790.25</v>
      </c>
      <c r="AG494" s="1"/>
      <c r="AH494" s="1"/>
      <c r="AI494" s="1"/>
      <c r="AJ494" s="1"/>
      <c r="AK494" s="1"/>
      <c r="AL494" s="1"/>
      <c r="AM494" s="1"/>
      <c r="AN494" s="1"/>
      <c r="AO494" s="1"/>
      <c r="AP494" s="1"/>
      <c r="AQ494" s="1">
        <v>44054.25</v>
      </c>
      <c r="AR494" s="1">
        <v>44078.25</v>
      </c>
      <c r="AS494" s="1">
        <v>44047.25</v>
      </c>
      <c r="AT494" s="1"/>
      <c r="AU494" s="1">
        <v>44088.25</v>
      </c>
      <c r="AV494" s="1">
        <v>44077.25</v>
      </c>
      <c r="AW494" s="1"/>
      <c r="AX494" s="1"/>
      <c r="AY494" s="1"/>
      <c r="AZ494" s="1"/>
      <c r="BA494" s="1"/>
      <c r="BB494" s="1"/>
      <c r="BC494" s="1"/>
      <c r="BD494" s="1"/>
      <c r="BE494" s="1"/>
      <c r="BF494" s="1"/>
      <c r="BG494" s="1"/>
      <c r="BH494" s="1"/>
      <c r="BI494" s="1"/>
      <c r="BJ494" s="1"/>
      <c r="BK494" s="1"/>
      <c r="BL494" s="1"/>
      <c r="BM494" s="1">
        <v>44088.25</v>
      </c>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row>
    <row r="495" spans="1:216" x14ac:dyDescent="0.3">
      <c r="A495" s="3" t="str">
        <f>HYPERLINK("https://hpr-rps.hres.ca/reg-content/summary-basis-decision-detailTwo.php?lang=en&amp;linkID=SBD00506", "GalliaPharm")</f>
        <v>GalliaPharm</v>
      </c>
      <c r="B495" s="1" t="s">
        <v>1262</v>
      </c>
      <c r="C495" s="1" t="s">
        <v>1263</v>
      </c>
      <c r="D495" s="1" t="s">
        <v>1264</v>
      </c>
      <c r="E495" s="1"/>
      <c r="F495" s="1"/>
      <c r="G495" s="1"/>
      <c r="H495" s="1">
        <v>43600.25</v>
      </c>
      <c r="I495" s="1"/>
      <c r="J495" s="1"/>
      <c r="K495" s="1"/>
      <c r="L495" s="1"/>
      <c r="M495" s="1"/>
      <c r="N495" s="1"/>
      <c r="O495" s="1"/>
      <c r="P495" s="1"/>
      <c r="Q495" s="1"/>
      <c r="R495" s="1"/>
      <c r="S495" s="1"/>
      <c r="T495" s="1"/>
      <c r="U495" s="1"/>
      <c r="V495" s="1"/>
      <c r="W495" s="1"/>
      <c r="X495" s="1"/>
      <c r="Y495" s="1"/>
      <c r="Z495" s="1">
        <v>43689.25</v>
      </c>
      <c r="AA495" s="1"/>
      <c r="AB495" s="1"/>
      <c r="AC495" s="1">
        <v>43719.25</v>
      </c>
      <c r="AD495" s="1"/>
      <c r="AE495" s="1"/>
      <c r="AF495" s="1">
        <v>43763.25</v>
      </c>
      <c r="AG495" s="1"/>
      <c r="AH495" s="1"/>
      <c r="AI495" s="1"/>
      <c r="AJ495" s="1"/>
      <c r="AK495" s="1"/>
      <c r="AL495" s="1"/>
      <c r="AM495" s="1"/>
      <c r="AN495" s="1"/>
      <c r="AO495" s="1"/>
      <c r="AP495" s="1"/>
      <c r="AQ495" s="1">
        <v>44062.25</v>
      </c>
      <c r="AR495" s="1">
        <v>44057.25</v>
      </c>
      <c r="AS495" s="1"/>
      <c r="AT495" s="1"/>
      <c r="AU495" s="1"/>
      <c r="AV495" s="1">
        <v>44049.25</v>
      </c>
      <c r="AW495" s="1"/>
      <c r="AX495" s="1"/>
      <c r="AY495" s="1"/>
      <c r="AZ495" s="1">
        <v>44040.25</v>
      </c>
      <c r="BA495" s="1"/>
      <c r="BB495" s="1"/>
      <c r="BC495" s="1"/>
      <c r="BD495" s="1"/>
      <c r="BE495" s="1"/>
      <c r="BF495" s="1"/>
      <c r="BG495" s="1"/>
      <c r="BH495" s="1"/>
      <c r="BI495" s="1"/>
      <c r="BJ495" s="1"/>
      <c r="BK495" s="1"/>
      <c r="BL495" s="1"/>
      <c r="BM495" s="1">
        <v>44062.25</v>
      </c>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row>
    <row r="496" spans="1:216" x14ac:dyDescent="0.3">
      <c r="A496" s="3" t="str">
        <f>HYPERLINK("https://hpr-rps.hres.ca/reg-content/summary-basis-decision-detailTwo.php?lang=en&amp;linkID=SBD00507", "Reblozyl")</f>
        <v>Reblozyl</v>
      </c>
      <c r="B496" s="1" t="s">
        <v>1265</v>
      </c>
      <c r="C496" s="1" t="s">
        <v>665</v>
      </c>
      <c r="D496" s="1" t="s">
        <v>1266</v>
      </c>
      <c r="E496" s="1">
        <v>43658.25</v>
      </c>
      <c r="F496" s="1"/>
      <c r="G496" s="1"/>
      <c r="H496" s="1"/>
      <c r="I496" s="1"/>
      <c r="J496" s="1"/>
      <c r="K496" s="1"/>
      <c r="L496" s="1"/>
      <c r="M496" s="1"/>
      <c r="N496" s="1">
        <v>43826.25</v>
      </c>
      <c r="O496" s="1"/>
      <c r="P496" s="1"/>
      <c r="Q496" s="1"/>
      <c r="R496" s="1"/>
      <c r="S496" s="1">
        <v>43853.25</v>
      </c>
      <c r="T496" s="1"/>
      <c r="U496" s="1"/>
      <c r="V496" s="1">
        <v>43885.25</v>
      </c>
      <c r="W496" s="1"/>
      <c r="X496" s="1"/>
      <c r="Y496" s="1"/>
      <c r="Z496" s="1"/>
      <c r="AA496" s="1"/>
      <c r="AB496" s="1"/>
      <c r="AC496" s="1">
        <v>43950.25</v>
      </c>
      <c r="AD496" s="1"/>
      <c r="AE496" s="1"/>
      <c r="AF496" s="1">
        <v>43920.25</v>
      </c>
      <c r="AG496" s="1"/>
      <c r="AH496" s="1"/>
      <c r="AI496" s="1"/>
      <c r="AJ496" s="1"/>
      <c r="AK496" s="1"/>
      <c r="AL496" s="1"/>
      <c r="AM496" s="1"/>
      <c r="AN496" s="1"/>
      <c r="AO496" s="1"/>
      <c r="AP496" s="1"/>
      <c r="AQ496" s="1">
        <v>44055.25</v>
      </c>
      <c r="AR496" s="1">
        <v>44098.25</v>
      </c>
      <c r="AS496" s="1"/>
      <c r="AT496" s="1"/>
      <c r="AU496" s="1">
        <v>44098.25</v>
      </c>
      <c r="AV496" s="1">
        <v>44092.25</v>
      </c>
      <c r="AW496" s="1"/>
      <c r="AX496" s="1"/>
      <c r="AY496" s="1"/>
      <c r="AZ496" s="1"/>
      <c r="BA496" s="1"/>
      <c r="BB496" s="1"/>
      <c r="BC496" s="1"/>
      <c r="BD496" s="1"/>
      <c r="BE496" s="1"/>
      <c r="BF496" s="1"/>
      <c r="BG496" s="1"/>
      <c r="BH496" s="1"/>
      <c r="BI496" s="1"/>
      <c r="BJ496" s="1"/>
      <c r="BK496" s="1"/>
      <c r="BL496" s="1"/>
      <c r="BM496" s="1">
        <v>44099.25</v>
      </c>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row>
    <row r="497" spans="1:216" x14ac:dyDescent="0.3">
      <c r="A497" s="3" t="str">
        <f>HYPERLINK("https://hpr-rps.hres.ca/reg-content/summary-basis-decision-detailTwo.php?lang=en&amp;linkID=SBD00508", "Zeposia")</f>
        <v>Zeposia</v>
      </c>
      <c r="B497" s="1" t="s">
        <v>1267</v>
      </c>
      <c r="C497" s="1" t="s">
        <v>665</v>
      </c>
      <c r="D497" s="1" t="s">
        <v>1268</v>
      </c>
      <c r="E497" s="1">
        <v>43677.25</v>
      </c>
      <c r="F497" s="1"/>
      <c r="G497" s="1"/>
      <c r="H497" s="1">
        <v>43763.25</v>
      </c>
      <c r="I497" s="1"/>
      <c r="J497" s="1"/>
      <c r="K497" s="1"/>
      <c r="L497" s="1"/>
      <c r="M497" s="1"/>
      <c r="N497" s="1"/>
      <c r="O497" s="1"/>
      <c r="P497" s="1"/>
      <c r="Q497" s="1"/>
      <c r="R497" s="1"/>
      <c r="S497" s="1"/>
      <c r="T497" s="1"/>
      <c r="U497" s="1"/>
      <c r="V497" s="1"/>
      <c r="W497" s="1"/>
      <c r="X497" s="1"/>
      <c r="Y497" s="1"/>
      <c r="Z497" s="1"/>
      <c r="AA497" s="1"/>
      <c r="AB497" s="1"/>
      <c r="AC497" s="1"/>
      <c r="AD497" s="1"/>
      <c r="AE497" s="1"/>
      <c r="AF497" s="1">
        <v>43808.25</v>
      </c>
      <c r="AG497" s="1"/>
      <c r="AH497" s="1"/>
      <c r="AI497" s="1"/>
      <c r="AJ497" s="1"/>
      <c r="AK497" s="1"/>
      <c r="AL497" s="1"/>
      <c r="AM497" s="1"/>
      <c r="AN497" s="1"/>
      <c r="AO497" s="1"/>
      <c r="AP497" s="1"/>
      <c r="AQ497" s="1">
        <v>44106.25</v>
      </c>
      <c r="AR497" s="1">
        <v>44105.25</v>
      </c>
      <c r="AS497" s="1">
        <v>44035.25</v>
      </c>
      <c r="AT497" s="1"/>
      <c r="AU497" s="1">
        <v>44106.25</v>
      </c>
      <c r="AV497" s="1">
        <v>44103.25</v>
      </c>
      <c r="AW497" s="1"/>
      <c r="AX497" s="1">
        <v>44084.25</v>
      </c>
      <c r="AY497" s="1"/>
      <c r="AZ497" s="1"/>
      <c r="BA497" s="1"/>
      <c r="BB497" s="1"/>
      <c r="BC497" s="1"/>
      <c r="BD497" s="1"/>
      <c r="BE497" s="1"/>
      <c r="BF497" s="1"/>
      <c r="BG497" s="1"/>
      <c r="BH497" s="1"/>
      <c r="BI497" s="1"/>
      <c r="BJ497" s="1"/>
      <c r="BK497" s="1"/>
      <c r="BL497" s="1"/>
      <c r="BM497" s="1">
        <v>44106.25</v>
      </c>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row>
    <row r="498" spans="1:216" x14ac:dyDescent="0.3">
      <c r="A498" s="3" t="str">
        <f>HYPERLINK("https://hpr-rps.hres.ca/reg-content/summary-basis-decision-detailTwo.php?lang=en&amp;linkID=SBD00509", "Sarclisa")</f>
        <v>Sarclisa</v>
      </c>
      <c r="B498" s="1" t="s">
        <v>1269</v>
      </c>
      <c r="C498" s="1" t="s">
        <v>942</v>
      </c>
      <c r="D498" s="1" t="s">
        <v>1270</v>
      </c>
      <c r="E498" s="1">
        <v>43035.25</v>
      </c>
      <c r="F498" s="1"/>
      <c r="G498" s="1"/>
      <c r="H498" s="1">
        <v>43644.25</v>
      </c>
      <c r="I498" s="1"/>
      <c r="J498" s="1"/>
      <c r="K498" s="1"/>
      <c r="L498" s="1"/>
      <c r="M498" s="1"/>
      <c r="N498" s="1"/>
      <c r="O498" s="1"/>
      <c r="P498" s="1"/>
      <c r="Q498" s="1"/>
      <c r="R498" s="1"/>
      <c r="S498" s="1"/>
      <c r="T498" s="1"/>
      <c r="U498" s="1"/>
      <c r="V498" s="1"/>
      <c r="W498" s="1"/>
      <c r="X498" s="1"/>
      <c r="Y498" s="1"/>
      <c r="Z498" s="1"/>
      <c r="AA498" s="1"/>
      <c r="AB498" s="1"/>
      <c r="AC498" s="1"/>
      <c r="AD498" s="1"/>
      <c r="AE498" s="1"/>
      <c r="AF498" s="1">
        <v>43675.25</v>
      </c>
      <c r="AG498" s="1"/>
      <c r="AH498" s="1"/>
      <c r="AI498" s="1"/>
      <c r="AJ498" s="1"/>
      <c r="AK498" s="1"/>
      <c r="AL498" s="1"/>
      <c r="AM498" s="1"/>
      <c r="AN498" s="1"/>
      <c r="AO498" s="1"/>
      <c r="AP498" s="1"/>
      <c r="AQ498" s="1">
        <v>43769.208333333343</v>
      </c>
      <c r="AR498" s="1">
        <v>43945.25</v>
      </c>
      <c r="AS498" s="1"/>
      <c r="AT498" s="1"/>
      <c r="AU498" s="1">
        <v>43948.25</v>
      </c>
      <c r="AV498" s="1">
        <v>43945.25</v>
      </c>
      <c r="AW498" s="1"/>
      <c r="AX498" s="1"/>
      <c r="AY498" s="1"/>
      <c r="AZ498" s="1"/>
      <c r="BA498" s="1"/>
      <c r="BB498" s="1"/>
      <c r="BC498" s="1"/>
      <c r="BD498" s="1"/>
      <c r="BE498" s="1"/>
      <c r="BF498" s="1"/>
      <c r="BG498" s="1"/>
      <c r="BH498" s="1"/>
      <c r="BI498" s="1"/>
      <c r="BJ498" s="1"/>
      <c r="BK498" s="1"/>
      <c r="BL498" s="1"/>
      <c r="BM498" s="1">
        <v>43950.25</v>
      </c>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row>
    <row r="499" spans="1:216" x14ac:dyDescent="0.3">
      <c r="A499" s="3" t="str">
        <f>HYPERLINK("https://hpr-rps.hres.ca/reg-content/summary-basis-decision-detailTwo.php?lang=en&amp;linkID=SBD00510", "Pfizer-BioNTech COVID-19 Vaccine")</f>
        <v>Pfizer-BioNTech COVID-19 Vaccine</v>
      </c>
      <c r="B499" s="1" t="s">
        <v>1271</v>
      </c>
      <c r="C499" s="1" t="s">
        <v>1272</v>
      </c>
      <c r="D499" s="1" t="s">
        <v>1273</v>
      </c>
      <c r="E499" s="1">
        <v>44082.25</v>
      </c>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row>
    <row r="500" spans="1:216" x14ac:dyDescent="0.3">
      <c r="A500" s="3" t="str">
        <f>HYPERLINK("https://hpr-rps.hres.ca/reg-content/summary-basis-decision-detailTwo.php?lang=en&amp;linkID=SBD00511", "Moderna COVID-19 Vaccine")</f>
        <v>Moderna COVID-19 Vaccine</v>
      </c>
      <c r="B500" s="1" t="s">
        <v>1274</v>
      </c>
      <c r="C500" s="1" t="s">
        <v>1275</v>
      </c>
      <c r="D500" s="1" t="s">
        <v>1276</v>
      </c>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row>
    <row r="501" spans="1:216" x14ac:dyDescent="0.3">
      <c r="A501" s="3" t="str">
        <f>HYPERLINK("https://hpr-rps.hres.ca/reg-content/summary-basis-decision-detailTwo.php?lang=en&amp;linkID=SBD00512", "Bamlanivimab for Injection")</f>
        <v>Bamlanivimab for Injection</v>
      </c>
      <c r="B501" s="1" t="s">
        <v>1277</v>
      </c>
      <c r="C501" s="1" t="s">
        <v>140</v>
      </c>
      <c r="D501" s="1" t="s">
        <v>1278</v>
      </c>
      <c r="E501" s="1"/>
      <c r="F501" s="1"/>
      <c r="G501" s="1"/>
      <c r="H501" s="1"/>
      <c r="I501" s="1"/>
      <c r="J501" s="1"/>
      <c r="K501" s="1"/>
      <c r="L501" s="1"/>
      <c r="M501" s="1"/>
      <c r="N501" s="1"/>
      <c r="O501" s="1"/>
      <c r="P501" s="1"/>
      <c r="Q501" s="1"/>
      <c r="R501" s="1"/>
      <c r="S501" s="1"/>
      <c r="T501" s="1"/>
      <c r="U501" s="1"/>
      <c r="V501" s="1"/>
      <c r="W501" s="1"/>
      <c r="X501" s="1"/>
      <c r="Y501" s="1"/>
      <c r="Z501" s="1">
        <v>44155.25</v>
      </c>
      <c r="AA501" s="1">
        <v>44155.25</v>
      </c>
      <c r="AB501" s="1"/>
      <c r="AC501" s="1"/>
      <c r="AD501" s="1">
        <v>44155.25</v>
      </c>
      <c r="AE501" s="1">
        <v>44154.25</v>
      </c>
      <c r="AF501" s="1"/>
      <c r="AG501" s="1">
        <v>44152.25</v>
      </c>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row>
    <row r="502" spans="1:216" x14ac:dyDescent="0.3">
      <c r="A502" s="3" t="str">
        <f>HYPERLINK("https://hpr-rps.hres.ca/reg-content/summary-basis-decision-detailTwo.php?lang=en&amp;linkID=SBD00513", "Noromby/Noromby HP")</f>
        <v>Noromby/Noromby HP</v>
      </c>
      <c r="B502" s="1" t="s">
        <v>1279</v>
      </c>
      <c r="C502" s="1" t="s">
        <v>1280</v>
      </c>
      <c r="D502" s="1" t="s">
        <v>1281</v>
      </c>
      <c r="E502" s="1">
        <v>43586.25</v>
      </c>
      <c r="F502" s="1"/>
      <c r="G502" s="1"/>
      <c r="H502" s="1">
        <v>43769.208333333343</v>
      </c>
      <c r="I502" s="1"/>
      <c r="J502" s="1"/>
      <c r="K502" s="1"/>
      <c r="L502" s="1"/>
      <c r="M502" s="1"/>
      <c r="N502" s="1"/>
      <c r="O502" s="1"/>
      <c r="P502" s="1"/>
      <c r="Q502" s="1"/>
      <c r="R502" s="1"/>
      <c r="S502" s="1"/>
      <c r="T502" s="1"/>
      <c r="U502" s="1"/>
      <c r="V502" s="1"/>
      <c r="W502" s="1"/>
      <c r="X502" s="1"/>
      <c r="Y502" s="1"/>
      <c r="Z502" s="1"/>
      <c r="AA502" s="1"/>
      <c r="AB502" s="1"/>
      <c r="AC502" s="1"/>
      <c r="AD502" s="1"/>
      <c r="AE502" s="1"/>
      <c r="AF502" s="1">
        <v>43818.25</v>
      </c>
      <c r="AG502" s="1"/>
      <c r="AH502" s="1"/>
      <c r="AI502" s="1"/>
      <c r="AJ502" s="1"/>
      <c r="AK502" s="1"/>
      <c r="AL502" s="1"/>
      <c r="AM502" s="1"/>
      <c r="AN502" s="1"/>
      <c r="AO502" s="1"/>
      <c r="AP502" s="1"/>
      <c r="AQ502" s="1">
        <v>43959.25</v>
      </c>
      <c r="AR502" s="1">
        <v>44117.25</v>
      </c>
      <c r="AS502" s="1"/>
      <c r="AT502" s="1"/>
      <c r="AU502" s="1"/>
      <c r="AV502" s="1">
        <v>44118.25</v>
      </c>
      <c r="AW502" s="1"/>
      <c r="AX502" s="1"/>
      <c r="AY502" s="1"/>
      <c r="AZ502" s="1">
        <v>44118.25</v>
      </c>
      <c r="BA502" s="1"/>
      <c r="BB502" s="1"/>
      <c r="BC502" s="1"/>
      <c r="BD502" s="1"/>
      <c r="BE502" s="1"/>
      <c r="BF502" s="1"/>
      <c r="BG502" s="1"/>
      <c r="BH502" s="1"/>
      <c r="BI502" s="1"/>
      <c r="BJ502" s="1"/>
      <c r="BK502" s="1"/>
      <c r="BL502" s="1"/>
      <c r="BM502" s="1">
        <v>44118.25</v>
      </c>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row>
    <row r="503" spans="1:216" x14ac:dyDescent="0.3">
      <c r="A503" s="3" t="str">
        <f>HYPERLINK("https://hpr-rps.hres.ca/reg-content/summary-basis-decision-medical-device-detailOne.php?lang=en&amp;linkID=SBD00338", "Natrelle&amp;trade; Silicone-Filled Breast Implants - Smooth Shell with Barrier and Natrelle&amp;trade; Silicone-Filled Breast Implants - Textured Shell with Barrier Layer")</f>
        <v>Natrelle&amp;trade; Silicone-Filled Breast Implants - Smooth Shell with Barrier and Natrelle&amp;trade; Silicone-Filled Breast Implants - Textured Shell with Barrier Layer</v>
      </c>
      <c r="B503" s="1" t="s">
        <v>1282</v>
      </c>
      <c r="C503" s="1" t="s">
        <v>1283</v>
      </c>
      <c r="D503" s="1" t="s">
        <v>885</v>
      </c>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row>
    <row r="504" spans="1:216" x14ac:dyDescent="0.3">
      <c r="A504" s="3" t="str">
        <f>HYPERLINK("https://hpr-rps.hres.ca/reg-content/summary-basis-decision-medical-device-detailOne.php?lang=en&amp;linkID=SBD00339", "Natrelle TM")</f>
        <v>Natrelle TM</v>
      </c>
      <c r="B504" s="1" t="s">
        <v>1282</v>
      </c>
      <c r="C504" s="1" t="s">
        <v>1283</v>
      </c>
      <c r="D504" s="1" t="s">
        <v>887</v>
      </c>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row>
    <row r="505" spans="1:216" x14ac:dyDescent="0.3">
      <c r="A505" s="3" t="str">
        <f>HYPERLINK("https://hpr-rps.hres.ca/reg-content/summary-basis-decision-medical-device-detailTwo.php?lang=en&amp;linkID=SBD00328", "MemoryGel&amp;trade; Silicone Gel-Filled Breast Implants")</f>
        <v>MemoryGel&amp;trade; Silicone Gel-Filled Breast Implants</v>
      </c>
      <c r="B505" s="1" t="s">
        <v>1282</v>
      </c>
      <c r="C505" s="1" t="s">
        <v>1284</v>
      </c>
      <c r="D505" s="1" t="s">
        <v>856</v>
      </c>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row>
    <row r="506" spans="1:216" x14ac:dyDescent="0.3">
      <c r="A506" s="3" t="str">
        <f>HYPERLINK("https://hpr-rps.hres.ca/reg-content/summary-basis-decision-medical-device-detailOne.php?lang=en&amp;linkID=SBD00348", "Mentor Memorygel&amp;trade; CPG Breast Implants Cohesive III")</f>
        <v>Mentor Memorygel&amp;trade; CPG Breast Implants Cohesive III</v>
      </c>
      <c r="B506" s="1" t="s">
        <v>1282</v>
      </c>
      <c r="C506" s="1" t="s">
        <v>1284</v>
      </c>
      <c r="D506" s="1" t="s">
        <v>905</v>
      </c>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row>
    <row r="507" spans="1:216" x14ac:dyDescent="0.3">
      <c r="A507" s="3" t="str">
        <f>HYPERLINK("https://hpr-rps.hres.ca/reg-content/summary-basis-decision-medical-device-detailOne.php?lang=en&amp;linkID=SBD00404", "Mentor Memorygel&amp;trade; CPG Breast Implants Cohesive III")</f>
        <v>Mentor Memorygel&amp;trade; CPG Breast Implants Cohesive III</v>
      </c>
      <c r="B507" s="1" t="s">
        <v>1282</v>
      </c>
      <c r="C507" s="1" t="s">
        <v>1284</v>
      </c>
      <c r="D507" s="1" t="s">
        <v>1033</v>
      </c>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row>
    <row r="508" spans="1:216" x14ac:dyDescent="0.3">
      <c r="A508" s="3" t="str">
        <f>HYPERLINK("https://hpr-rps.hres.ca/reg-content/summary-basis-decision-medical-device-detailOne.php?lang=en&amp;linkID=SBD00405", "Mentor Memorygel&amp;trade; CPG Breast Implants Cohesive III")</f>
        <v>Mentor Memorygel&amp;trade; CPG Breast Implants Cohesive III</v>
      </c>
      <c r="B508" s="1" t="s">
        <v>1282</v>
      </c>
      <c r="C508" s="1" t="s">
        <v>1284</v>
      </c>
      <c r="D508" s="1" t="s">
        <v>1035</v>
      </c>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row>
    <row r="509" spans="1:216" x14ac:dyDescent="0.3">
      <c r="A509" s="3" t="str">
        <f>HYPERLINK("https://hpr-rps.hres.ca/reg-content/summary-basis-decision-medical-device-detailOne.php?lang=en&amp;linkID=SBD00406", "Mentor Memorygel&amp;trade; CPG Breast Implants Cohesive III")</f>
        <v>Mentor Memorygel&amp;trade; CPG Breast Implants Cohesive III</v>
      </c>
      <c r="B509" s="1" t="s">
        <v>1282</v>
      </c>
      <c r="C509" s="1" t="s">
        <v>1284</v>
      </c>
      <c r="D509" s="1" t="s">
        <v>1037</v>
      </c>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row>
    <row r="510" spans="1:216" x14ac:dyDescent="0.3">
      <c r="A510" s="3" t="str">
        <f>HYPERLINK("https://hpr-rps.hres.ca/reg-content/summary-basis-decision-medical-device-detailOne.php?lang=en&amp;linkID=SBD00407", "Mentor Memorygel&amp;trade; CPG Breast Implants Cohesive III")</f>
        <v>Mentor Memorygel&amp;trade; CPG Breast Implants Cohesive III</v>
      </c>
      <c r="B510" s="1" t="s">
        <v>1282</v>
      </c>
      <c r="C510" s="1" t="s">
        <v>1284</v>
      </c>
      <c r="D510" s="1" t="s">
        <v>1040</v>
      </c>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row>
    <row r="511" spans="1:216" x14ac:dyDescent="0.3">
      <c r="A511" s="3" t="str">
        <f>HYPERLINK("https://hpr-rps.hres.ca/reg-content/summary-basis-decision-medical-device-detailOne.php?lang=en&amp;linkID=SBD00408", "Mentor Memorygel&amp;trade; CPG Breast Implants Cohesive III")</f>
        <v>Mentor Memorygel&amp;trade; CPG Breast Implants Cohesive III</v>
      </c>
      <c r="B511" s="1" t="s">
        <v>1282</v>
      </c>
      <c r="C511" s="1" t="s">
        <v>1284</v>
      </c>
      <c r="D511" s="1" t="s">
        <v>1043</v>
      </c>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row>
    <row r="512" spans="1:216" x14ac:dyDescent="0.3">
      <c r="A512" s="3" t="str">
        <f>HYPERLINK("https://hpr-rps.hres.ca/reg-content/summary-basis-decision-medical-device-detailOne.php?lang=en&amp;linkID=SBD00409", "Mentor Memorygel&amp;trade; CPG Breast Implants Cohesive III")</f>
        <v>Mentor Memorygel&amp;trade; CPG Breast Implants Cohesive III</v>
      </c>
      <c r="B512" s="1" t="s">
        <v>1282</v>
      </c>
      <c r="C512" s="1" t="s">
        <v>1284</v>
      </c>
      <c r="D512" s="1" t="s">
        <v>1045</v>
      </c>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row>
    <row r="513" spans="1:216" x14ac:dyDescent="0.3">
      <c r="A513" s="3" t="str">
        <f>HYPERLINK("https://hpr-rps.hres.ca/reg-content/summary-basis-decision-medical-device-detailOne.php?lang=en&amp;linkID=SBD00410", "Mentor Memorygel&amp;trade; CPG Breast Implants Cohesive III")</f>
        <v>Mentor Memorygel&amp;trade; CPG Breast Implants Cohesive III</v>
      </c>
      <c r="B513" s="1" t="s">
        <v>1282</v>
      </c>
      <c r="C513" s="1" t="s">
        <v>1284</v>
      </c>
      <c r="D513" s="1" t="s">
        <v>1047</v>
      </c>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row>
    <row r="514" spans="1:216" x14ac:dyDescent="0.3">
      <c r="A514" s="3" t="str">
        <f>HYPERLINK("https://hpr-rps.hres.ca/reg-content/summary-basis-decision-medical-device-detailOne.php?lang=en&amp;linkID=SBD00349", "Mentor MemoryGel&amp;trade; Silicone Gel-Filled Breast Implants")</f>
        <v>Mentor MemoryGel&amp;trade; Silicone Gel-Filled Breast Implants</v>
      </c>
      <c r="B514" s="1" t="s">
        <v>1282</v>
      </c>
      <c r="C514" s="1" t="s">
        <v>1285</v>
      </c>
      <c r="D514" s="1" t="s">
        <v>908</v>
      </c>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row>
    <row r="515" spans="1:216" x14ac:dyDescent="0.3">
      <c r="A515" s="3" t="str">
        <f>HYPERLINK("https://hpr-rps.hres.ca/reg-content/summary-basis-decision-medical-device-detailOne.php?lang=en&amp;linkID=SBD00411", "Mentor MemoryGel&amp;trade; Silicone Gel-Filled Breast Implants")</f>
        <v>Mentor MemoryGel&amp;trade; Silicone Gel-Filled Breast Implants</v>
      </c>
      <c r="B515" s="1" t="s">
        <v>1282</v>
      </c>
      <c r="C515" s="1" t="s">
        <v>1285</v>
      </c>
      <c r="D515" s="1" t="s">
        <v>1049</v>
      </c>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row>
    <row r="516" spans="1:216" x14ac:dyDescent="0.3">
      <c r="A516" s="3" t="str">
        <f>HYPERLINK("https://hpr-rps.hres.ca/reg-content/summary-basis-decision-medical-device-detailOne.php?lang=en&amp;linkID=SBD00412", "Mentor MemoryGel&amp;trade; Silicone Gel-Filled Breast Implants")</f>
        <v>Mentor MemoryGel&amp;trade; Silicone Gel-Filled Breast Implants</v>
      </c>
      <c r="B516" s="1" t="s">
        <v>1282</v>
      </c>
      <c r="C516" s="1" t="s">
        <v>1285</v>
      </c>
      <c r="D516" s="1" t="s">
        <v>1051</v>
      </c>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row>
    <row r="517" spans="1:216" x14ac:dyDescent="0.3">
      <c r="A517" s="3" t="str">
        <f>HYPERLINK("https://hpr-rps.hres.ca/reg-content/summary-basis-decision-medical-device-detailOne.php?lang=en&amp;linkID=SBD00413", "Mentor MemoryGel&amp;trade; Silicone Gel-Filled Breast Implants")</f>
        <v>Mentor MemoryGel&amp;trade; Silicone Gel-Filled Breast Implants</v>
      </c>
      <c r="B517" s="1" t="s">
        <v>1282</v>
      </c>
      <c r="C517" s="1" t="s">
        <v>1285</v>
      </c>
      <c r="D517" s="1" t="s">
        <v>1054</v>
      </c>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row>
    <row r="518" spans="1:216" x14ac:dyDescent="0.3">
      <c r="A518" s="3" t="str">
        <f>HYPERLINK("https://hpr-rps.hres.ca/reg-content/summary-basis-decision-medical-device-detailOne.php?lang=en&amp;linkID=SBD00414", "Mentor MemoryGel&amp;trade; Silicone Gel-Filled Breast Implants")</f>
        <v>Mentor MemoryGel&amp;trade; Silicone Gel-Filled Breast Implants</v>
      </c>
      <c r="B518" s="1" t="s">
        <v>1282</v>
      </c>
      <c r="C518" s="1" t="s">
        <v>1285</v>
      </c>
      <c r="D518" s="1" t="s">
        <v>1057</v>
      </c>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row>
    <row r="519" spans="1:216" x14ac:dyDescent="0.3">
      <c r="A519" s="3" t="str">
        <f>HYPERLINK("https://hpr-rps.hres.ca/reg-content/summary-basis-decision-medical-device-detailOne.php?lang=en&amp;linkID=SBD00415", "Mentor MemoryGel&amp;trade; Silicone Gel-Filled Breast Implants")</f>
        <v>Mentor MemoryGel&amp;trade; Silicone Gel-Filled Breast Implants</v>
      </c>
      <c r="B519" s="1" t="s">
        <v>1282</v>
      </c>
      <c r="C519" s="1" t="s">
        <v>1285</v>
      </c>
      <c r="D519" s="1" t="s">
        <v>1059</v>
      </c>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row>
    <row r="520" spans="1:216" x14ac:dyDescent="0.3">
      <c r="A520" s="3" t="str">
        <f>HYPERLINK("https://hpr-rps.hres.ca/reg-content/summary-basis-decision-medical-device-detailOne.php?lang=en&amp;linkID=SBD00416", "Mentor MemoryGel&amp;trade; Silicone Gel-Filled Breast Implants")</f>
        <v>Mentor MemoryGel&amp;trade; Silicone Gel-Filled Breast Implants</v>
      </c>
      <c r="B520" s="1" t="s">
        <v>1282</v>
      </c>
      <c r="C520" s="1" t="s">
        <v>1285</v>
      </c>
      <c r="D520" s="1" t="s">
        <v>1061</v>
      </c>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row>
    <row r="521" spans="1:216" x14ac:dyDescent="0.3">
      <c r="A521" s="3" t="str">
        <f>HYPERLINK("https://hpr-rps.hres.ca/reg-content/summary-basis-decision-medical-device-detailOne.php?lang=en&amp;linkID=SBD00417", "Mentor MemoryGel&amp;trade; Silicone Gel-Filled Breast Implants")</f>
        <v>Mentor MemoryGel&amp;trade; Silicone Gel-Filled Breast Implants</v>
      </c>
      <c r="B521" s="1" t="s">
        <v>1282</v>
      </c>
      <c r="C521" s="1" t="s">
        <v>1285</v>
      </c>
      <c r="D521" s="1" t="s">
        <v>1064</v>
      </c>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row>
    <row r="522" spans="1:216" x14ac:dyDescent="0.3">
      <c r="A522" s="3" t="str">
        <f>HYPERLINK("https://hpr-rps.hres.ca/reg-content/summary-basis-decision-medical-device-detailOne.php?lang=en&amp;linkID=SBD00350",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2" s="1" t="s">
        <v>1282</v>
      </c>
      <c r="C522" s="1" t="s">
        <v>1283</v>
      </c>
      <c r="D522" s="1" t="s">
        <v>852</v>
      </c>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row>
    <row r="523" spans="1:216" x14ac:dyDescent="0.3">
      <c r="A523" s="3" t="str">
        <f>HYPERLINK("https://hpr-rps.hres.ca/reg-content/summary-basis-decision-medical-device-detailOne.php?lang=en&amp;linkID=SBD00418",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3" s="1" t="s">
        <v>1282</v>
      </c>
      <c r="C523" s="1" t="s">
        <v>1283</v>
      </c>
      <c r="D523" s="1" t="s">
        <v>1066</v>
      </c>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row>
    <row r="524" spans="1:216" x14ac:dyDescent="0.3">
      <c r="A524" s="3" t="str">
        <f>HYPERLINK("https://hpr-rps.hres.ca/reg-content/summary-basis-decision-medical-device-detailOne.php?lang=en&amp;linkID=SBD00419",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4" s="1" t="s">
        <v>1282</v>
      </c>
      <c r="C524" s="1" t="s">
        <v>1286</v>
      </c>
      <c r="D524" s="1" t="s">
        <v>1068</v>
      </c>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row>
    <row r="525" spans="1:216" x14ac:dyDescent="0.3">
      <c r="A525" s="3" t="str">
        <f>HYPERLINK("https://hpr-rps.hres.ca/reg-content/summary-basis-decision-medical-device-detailTwo.php?lang=en&amp;linkID=SBD00327", "CPG Gel Breast Implants Cohesive III")</f>
        <v>CPG Gel Breast Implants Cohesive III</v>
      </c>
      <c r="B525" s="1" t="s">
        <v>1282</v>
      </c>
      <c r="C525" s="1" t="s">
        <v>1284</v>
      </c>
      <c r="D525" s="1" t="s">
        <v>854</v>
      </c>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row>
    <row r="526" spans="1:216" x14ac:dyDescent="0.3">
      <c r="A526" s="3" t="str">
        <f>HYPERLINK("https://hpr-rps.hres.ca/reg-content/summary-basis-decision-medical-device-detailOne.php?lang=en&amp;linkID=SBD00420",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6" s="1" t="s">
        <v>1282</v>
      </c>
      <c r="C526" s="1" t="s">
        <v>1286</v>
      </c>
      <c r="D526" s="1" t="s">
        <v>1070</v>
      </c>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row>
    <row r="527" spans="1:216" x14ac:dyDescent="0.3">
      <c r="A527" s="3" t="str">
        <f>HYPERLINK("https://hpr-rps.hres.ca/reg-content/summary-basis-decision-medical-device-detailOne.php?lang=en&amp;linkID=SBD00484", "Natrelle&amp;trade; Silicone-Filled Breast Implants - Smooth Shell with Barrier Layer &lt;br /&gt; and&lt;br /&gt;Natrelle&amp;trade; Silicone-Filled Breast Implants - Textured Shell with Barrier Layer")</f>
        <v>Natrelle&amp;trade; Silicone-Filled Breast Implants - Smooth Shell with Barrier Layer &lt;br /&gt; and&lt;br /&gt;Natrelle&amp;trade; Silicone-Filled Breast Implants - Textured Shell with Barrier Layer</v>
      </c>
      <c r="B527" s="1" t="s">
        <v>1282</v>
      </c>
      <c r="C527" s="1" t="s">
        <v>1287</v>
      </c>
      <c r="D527" s="1" t="s">
        <v>1213</v>
      </c>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row>
    <row r="528" spans="1:216" x14ac:dyDescent="0.3">
      <c r="A528" s="3" t="str">
        <f>HYPERLINK("https://hpr-rps.hres.ca/reg-content/summary-basis-decision-medical-device-detailOne.php?lang=en&amp;linkID=SBD00351", "Natrelle&amp;#8482; Highly Cohesive Silicone-Filled Breast Implants")</f>
        <v>Natrelle&amp;#8482; Highly Cohesive Silicone-Filled Breast Implants</v>
      </c>
      <c r="B528" s="1" t="s">
        <v>1282</v>
      </c>
      <c r="C528" s="1" t="s">
        <v>1283</v>
      </c>
      <c r="D528" s="1" t="s">
        <v>911</v>
      </c>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row>
    <row r="529" spans="1:216" x14ac:dyDescent="0.3">
      <c r="A529" s="3" t="str">
        <f>HYPERLINK("https://hpr-rps.hres.ca/reg-content/summary-basis-decision-medical-device-detailOne.php?lang=en&amp;linkID=SBD00421", "Natrelle&amp;#8482; Highly Cohesive Silicone-filled Breast Implants")</f>
        <v>Natrelle&amp;#8482; Highly Cohesive Silicone-filled Breast Implants</v>
      </c>
      <c r="B529" s="1" t="s">
        <v>1282</v>
      </c>
      <c r="C529" s="1" t="s">
        <v>1283</v>
      </c>
      <c r="D529" s="1" t="s">
        <v>1072</v>
      </c>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row>
    <row r="530" spans="1:216" x14ac:dyDescent="0.3">
      <c r="A530" s="3" t="str">
        <f>HYPERLINK("https://hpr-rps.hres.ca/reg-content/summary-basis-decision-medical-device-detailOne.php?lang=en&amp;linkID=SBD00422", "Natrelle&amp;#8482; Highly Cohesive Silicone-Filled Breast Implants")</f>
        <v>Natrelle&amp;#8482; Highly Cohesive Silicone-Filled Breast Implants</v>
      </c>
      <c r="B530" s="1" t="s">
        <v>1282</v>
      </c>
      <c r="C530" s="1" t="s">
        <v>1286</v>
      </c>
      <c r="D530" s="1" t="s">
        <v>1075</v>
      </c>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row>
    <row r="531" spans="1:216" x14ac:dyDescent="0.3">
      <c r="A531" s="3" t="str">
        <f>HYPERLINK("https://hpr-rps.hres.ca/reg-content/summary-basis-decision-medical-device-detailOne.php?lang=en&amp;linkID=SBD00423", "Natrelle&amp;#8482; Highly Cohesive Silicone-Filled Breast Implants")</f>
        <v>Natrelle&amp;#8482; Highly Cohesive Silicone-Filled Breast Implants</v>
      </c>
      <c r="B531" s="1" t="s">
        <v>1282</v>
      </c>
      <c r="C531" s="1" t="s">
        <v>1286</v>
      </c>
      <c r="D531" s="1" t="s">
        <v>1077</v>
      </c>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row>
    <row r="532" spans="1:216" x14ac:dyDescent="0.3">
      <c r="A532" s="3" t="str">
        <f>HYPERLINK("https://hpr-rps.hres.ca/reg-content/summary-basis-decision-medical-device-detailOne.php?lang=en&amp;linkID=SBD00424", "Natrelle TM")</f>
        <v>Natrelle TM</v>
      </c>
      <c r="B532" s="1" t="s">
        <v>1282</v>
      </c>
      <c r="C532" s="1" t="s">
        <v>1286</v>
      </c>
      <c r="D532" s="1" t="s">
        <v>1080</v>
      </c>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row>
    <row r="533" spans="1:216" x14ac:dyDescent="0.3">
      <c r="A533" s="3" t="str">
        <f>HYPERLINK("https://hpr-rps.hres.ca/reg-content/summary-basis-decision-medical-device-detailTwo.php?lang=en&amp;linkID=SBD00320", "Neuroform 2 Microdelivery Stent System")</f>
        <v>Neuroform 2 Microdelivery Stent System</v>
      </c>
      <c r="B533" s="1" t="s">
        <v>1282</v>
      </c>
      <c r="C533" s="1" t="s">
        <v>1288</v>
      </c>
      <c r="D533" s="1" t="s">
        <v>1289</v>
      </c>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row>
    <row r="534" spans="1:216" x14ac:dyDescent="0.3">
      <c r="A534" s="3" t="str">
        <f>HYPERLINK("https://hpr-rps.hres.ca/reg-content/summary-basis-decision-medical-device-detailTwo.php?lang=en&amp;linkID=SBD00321", "TMR (Transmyocardial Revascularization) Lasers&lt;br /&gt;TMR2000 Ho:YAG laser&lt;br /&gt;SolarGen 2100S Ho:YAG laser")</f>
        <v>TMR (Transmyocardial Revascularization) Lasers&lt;br /&gt;TMR2000 Ho:YAG laser&lt;br /&gt;SolarGen 2100S Ho:YAG laser</v>
      </c>
      <c r="B534" s="1" t="s">
        <v>1282</v>
      </c>
      <c r="C534" s="1" t="s">
        <v>1290</v>
      </c>
      <c r="D534" s="1" t="s">
        <v>838</v>
      </c>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row>
    <row r="535" spans="1:216" x14ac:dyDescent="0.3">
      <c r="A535" s="3" t="str">
        <f>HYPERLINK("https://hpr-rps.hres.ca/reg-content/summary-basis-decision-medical-device-detailTwo.php?lang=en&amp;linkID=SBD00322", "AB5000&amp;trade; Circulatory Support System")</f>
        <v>AB5000&amp;trade; Circulatory Support System</v>
      </c>
      <c r="B535" s="1" t="s">
        <v>1282</v>
      </c>
      <c r="C535" s="1" t="s">
        <v>1291</v>
      </c>
      <c r="D535" s="1" t="s">
        <v>841</v>
      </c>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row>
    <row r="536" spans="1:216" x14ac:dyDescent="0.3">
      <c r="A536" s="3" t="str">
        <f>HYPERLINK("https://hpr-rps.hres.ca/reg-content/summary-basis-decision-medical-device-detailTwo.php?lang=en&amp;linkID=SBD00323", "CardioWest&amp;trade; C70 Temporary Total Artificial Heart")</f>
        <v>CardioWest&amp;trade; C70 Temporary Total Artificial Heart</v>
      </c>
      <c r="B536" s="1" t="s">
        <v>1282</v>
      </c>
      <c r="C536" s="1" t="s">
        <v>1292</v>
      </c>
      <c r="D536" s="1" t="s">
        <v>843</v>
      </c>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row>
    <row r="537" spans="1:216" x14ac:dyDescent="0.3">
      <c r="A537" s="3" t="str">
        <f>HYPERLINK("https://hpr-rps.hres.ca/reg-content/summary-basis-decision-medical-device-detailTwo.php?lang=en&amp;linkID=SBD00324", "Wingspan TM")</f>
        <v>Wingspan TM</v>
      </c>
      <c r="B537" s="1" t="s">
        <v>1282</v>
      </c>
      <c r="C537" s="1" t="s">
        <v>1293</v>
      </c>
      <c r="D537" s="1" t="s">
        <v>846</v>
      </c>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row>
    <row r="538" spans="1:216" x14ac:dyDescent="0.3">
      <c r="A538" s="3" t="str">
        <f>HYPERLINK("https://hpr-rps.hres.ca/reg-content/summary-basis-decision-medical-device-detailTwo.php?lang=en&amp;linkID=SBD00325", "Inamed Style 410 Silicone-Filled Breast Implants")</f>
        <v>Inamed Style 410 Silicone-Filled Breast Implants</v>
      </c>
      <c r="B538" s="1" t="s">
        <v>1282</v>
      </c>
      <c r="C538" s="1" t="s">
        <v>1294</v>
      </c>
      <c r="D538" s="1" t="s">
        <v>1295</v>
      </c>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row>
    <row r="539" spans="1:216" x14ac:dyDescent="0.3">
      <c r="A539" s="3" t="str">
        <f>HYPERLINK("https://hpr-rps.hres.ca/reg-content/summary-basis-decision-medical-device-detailTwo.php?lang=en&amp;linkID=SBD00329", "Procleix ®")</f>
        <v>Procleix ®</v>
      </c>
      <c r="B539" s="1" t="s">
        <v>1282</v>
      </c>
      <c r="C539" s="1" t="s">
        <v>1296</v>
      </c>
      <c r="D539" s="1" t="s">
        <v>860</v>
      </c>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row>
    <row r="540" spans="1:216" x14ac:dyDescent="0.3">
      <c r="A540" s="3" t="str">
        <f>HYPERLINK("https://hpr-rps.hres.ca/reg-content/summary-basis-decision-medical-device-detailTwo.php?lang=en&amp;linkID=SBD00330", "Procleix ®")</f>
        <v>Procleix ®</v>
      </c>
      <c r="B540" s="1" t="s">
        <v>1282</v>
      </c>
      <c r="C540" s="1" t="s">
        <v>1296</v>
      </c>
      <c r="D540" s="1" t="s">
        <v>861</v>
      </c>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row>
    <row r="541" spans="1:216" x14ac:dyDescent="0.3">
      <c r="A541" s="3" t="str">
        <f>HYPERLINK("https://hpr-rps.hres.ca/reg-content/summary-basis-decision-medical-device-detailTwo.php?lang=en&amp;linkID=SBD00331", "Procleix &amp;reg;")</f>
        <v>Procleix &amp;reg;</v>
      </c>
      <c r="B541" s="1" t="s">
        <v>1282</v>
      </c>
      <c r="C541" s="1" t="s">
        <v>1296</v>
      </c>
      <c r="D541" s="1" t="s">
        <v>864</v>
      </c>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row>
    <row r="542" spans="1:216" x14ac:dyDescent="0.3">
      <c r="A542" s="3" t="str">
        <f>HYPERLINK("https://hpr-rps.hres.ca/reg-content/summary-basis-decision-medical-device-detailTwo.php?lang=en&amp;linkID=SBD00332", "Ortho  T. CRUZI ")</f>
        <v xml:space="preserve">Ortho  T. CRUZI </v>
      </c>
      <c r="B542" s="1" t="s">
        <v>1282</v>
      </c>
      <c r="C542" s="1" t="s">
        <v>1297</v>
      </c>
      <c r="D542" s="1" t="s">
        <v>867</v>
      </c>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row>
    <row r="543" spans="1:216" x14ac:dyDescent="0.3">
      <c r="A543" s="3" t="str">
        <f>HYPERLINK("https://hpr-rps.hres.ca/reg-content/summary-basis-decision-medical-device-detailTwo.php?lang=en&amp;linkID=SBD00333", "Recover Pump System")</f>
        <v>Recover Pump System</v>
      </c>
      <c r="B543" s="1" t="s">
        <v>1282</v>
      </c>
      <c r="C543" s="1" t="s">
        <v>1298</v>
      </c>
      <c r="D543" s="1" t="s">
        <v>870</v>
      </c>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row>
    <row r="544" spans="1:216" x14ac:dyDescent="0.3">
      <c r="A544" s="3" t="str">
        <f>HYPERLINK("https://hpr-rps.hres.ca/reg-content/summary-basis-decision-medical-device-detailTwo.php?lang=en&amp;linkID=SBD00334", "Elana Surgical Kit")</f>
        <v>Elana Surgical Kit</v>
      </c>
      <c r="B544" s="1" t="s">
        <v>1282</v>
      </c>
      <c r="C544" s="1" t="s">
        <v>1299</v>
      </c>
      <c r="D544" s="1" t="s">
        <v>873</v>
      </c>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row>
    <row r="545" spans="1:216" x14ac:dyDescent="0.3">
      <c r="A545" s="3" t="str">
        <f>HYPERLINK("https://hpr-rps.hres.ca/reg-content/summary-basis-decision-medical-device-detailTwo.php?lang=en&amp;linkID=SBD00335", "West Nile Virus Kit (Donor Screening)")</f>
        <v>West Nile Virus Kit (Donor Screening)</v>
      </c>
      <c r="B545" s="1" t="s">
        <v>1282</v>
      </c>
      <c r="C545" s="1" t="s">
        <v>1300</v>
      </c>
      <c r="D545" s="1" t="s">
        <v>876</v>
      </c>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row>
    <row r="546" spans="1:216" x14ac:dyDescent="0.3">
      <c r="A546" s="3" t="str">
        <f>HYPERLINK("https://hpr-rps.hres.ca/reg-content/summary-basis-decision-medical-device-detailTwo.php?lang=en&amp;linkID=SBD00340", "REPEL-CV ®")</f>
        <v>REPEL-CV ®</v>
      </c>
      <c r="B546" s="1" t="s">
        <v>1282</v>
      </c>
      <c r="C546" s="1" t="s">
        <v>1301</v>
      </c>
      <c r="D546" s="1" t="s">
        <v>889</v>
      </c>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row>
    <row r="547" spans="1:216" x14ac:dyDescent="0.3">
      <c r="A547" s="3" t="str">
        <f>HYPERLINK("https://hpr-rps.hres.ca/reg-content/summary-basis-decision-medical-device-detailTwo.php?lang=en&amp;linkID=SBD00341", "Syphilis EIA II (Donor Screening)")</f>
        <v>Syphilis EIA II (Donor Screening)</v>
      </c>
      <c r="B547" s="1" t="s">
        <v>1282</v>
      </c>
      <c r="C547" s="1" t="s">
        <v>1302</v>
      </c>
      <c r="D547" s="1" t="s">
        <v>892</v>
      </c>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row>
    <row r="548" spans="1:216" x14ac:dyDescent="0.3">
      <c r="A548" s="3" t="str">
        <f>HYPERLINK("https://hpr-rps.hres.ca/reg-content/summary-basis-decision-medical-device-detailTwo.php?lang=en&amp;linkID=SBD00342", "Procleix ®")</f>
        <v>Procleix ®</v>
      </c>
      <c r="B548" s="1" t="s">
        <v>1282</v>
      </c>
      <c r="C548" s="1" t="s">
        <v>1296</v>
      </c>
      <c r="D548" s="1" t="s">
        <v>894</v>
      </c>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row>
    <row r="549" spans="1:216" x14ac:dyDescent="0.3">
      <c r="A549" s="3" t="str">
        <f>HYPERLINK("https://hpr-rps.hres.ca/reg-content/summary-basis-decision-medical-device-detailTwo.php?lang=en&amp;linkID=SBD00343", "TAG Thoracic Endoprosthesis")</f>
        <v>TAG Thoracic Endoprosthesis</v>
      </c>
      <c r="B549" s="1" t="s">
        <v>1282</v>
      </c>
      <c r="C549" s="1" t="s">
        <v>1303</v>
      </c>
      <c r="D549" s="1" t="s">
        <v>858</v>
      </c>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row>
    <row r="550" spans="1:216" x14ac:dyDescent="0.3">
      <c r="A550" s="3" t="str">
        <f>HYPERLINK("https://hpr-rps.hres.ca/reg-content/summary-basis-decision-medical-device-detailTwo.php?lang=en&amp;linkID=SBD00344", "Valiant ®")</f>
        <v>Valiant ®</v>
      </c>
      <c r="B550" s="1" t="s">
        <v>1282</v>
      </c>
      <c r="C550" s="1" t="s">
        <v>1304</v>
      </c>
      <c r="D550" s="1" t="s">
        <v>896</v>
      </c>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row>
    <row r="551" spans="1:216" x14ac:dyDescent="0.3">
      <c r="A551" s="3" t="str">
        <f>HYPERLINK("https://hpr-rps.hres.ca/reg-content/summary-basis-decision-medical-device-detailTwo.php?lang=en&amp;linkID=SBD00345", "EXCOR ®")</f>
        <v>EXCOR ®</v>
      </c>
      <c r="B551" s="1" t="s">
        <v>1282</v>
      </c>
      <c r="C551" s="1" t="s">
        <v>1305</v>
      </c>
      <c r="D551" s="1" t="s">
        <v>898</v>
      </c>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row>
    <row r="552" spans="1:216" x14ac:dyDescent="0.3">
      <c r="A552" s="3" t="str">
        <f>HYPERLINK("https://hpr-rps.hres.ca/reg-content/summary-basis-decision-medical-device-detailTwo.php?lang=en&amp;linkID=SBD00352", "COBAS &amp;reg;")</f>
        <v>COBAS &amp;reg;</v>
      </c>
      <c r="B552" s="1" t="s">
        <v>1282</v>
      </c>
      <c r="C552" s="1" t="s">
        <v>1300</v>
      </c>
      <c r="D552" s="1" t="s">
        <v>914</v>
      </c>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row>
    <row r="553" spans="1:216" x14ac:dyDescent="0.3">
      <c r="A553" s="3" t="str">
        <f>HYPERLINK("https://hpr-rps.hres.ca/reg-content/summary-basis-decision-medical-device-detailTwo.php?lang=en&amp;linkID=SBD00346", "Zenith TX2 ®")</f>
        <v>Zenith TX2 ®</v>
      </c>
      <c r="B553" s="1" t="s">
        <v>1282</v>
      </c>
      <c r="C553" s="1" t="s">
        <v>1306</v>
      </c>
      <c r="D553" s="1" t="s">
        <v>901</v>
      </c>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row>
    <row r="554" spans="1:216" x14ac:dyDescent="0.3">
      <c r="A554" s="3" t="str">
        <f>HYPERLINK("https://hpr-rps.hres.ca/reg-content/summary-basis-decision-medical-device-detailTwo.php?lang=en&amp;linkID=SBD00347", "HeartMate II ®")</f>
        <v>HeartMate II ®</v>
      </c>
      <c r="B554" s="1" t="s">
        <v>1282</v>
      </c>
      <c r="C554" s="1" t="s">
        <v>1307</v>
      </c>
      <c r="D554" s="1" t="s">
        <v>903</v>
      </c>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row>
    <row r="555" spans="1:216" x14ac:dyDescent="0.3">
      <c r="A555" s="3" t="str">
        <f>HYPERLINK("https://hpr-rps.hres.ca/reg-content/summary-basis-decision-medical-device-detailTwo.php?lang=en&amp;linkID=SBD00356", "Pipeline &amp;trade;")</f>
        <v>Pipeline &amp;trade;</v>
      </c>
      <c r="B555" s="1" t="s">
        <v>1282</v>
      </c>
      <c r="C555" s="1" t="s">
        <v>1308</v>
      </c>
      <c r="D555" s="1" t="s">
        <v>924</v>
      </c>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row>
    <row r="556" spans="1:216" x14ac:dyDescent="0.3">
      <c r="A556" s="3" t="str">
        <f>HYPERLINK("https://hpr-rps.hres.ca/reg-content/summary-basis-decision-medical-device-detailTwo.php?lang=en&amp;linkID=SBD00353", "cobas TaqScreen MPX Test&lt;br /&gt; The licence name is NAT Qualitative Multi Assay Test (Donor Screening).")</f>
        <v>cobas TaqScreen MPX Test&lt;br /&gt; The licence name is NAT Qualitative Multi Assay Test (Donor Screening).</v>
      </c>
      <c r="B556" s="1" t="s">
        <v>1282</v>
      </c>
      <c r="C556" s="1" t="s">
        <v>1309</v>
      </c>
      <c r="D556" s="1" t="s">
        <v>917</v>
      </c>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row>
    <row r="557" spans="1:216" x14ac:dyDescent="0.3">
      <c r="A557" s="3" t="str">
        <f>HYPERLINK("https://hpr-rps.hres.ca/reg-content/summary-basis-decision-medical-device-detailTwo.php?lang=en&amp;linkID=SBD00354", "Inamed Silicone-Filled Breast Implants - Smooth Shell with Barrier Layer&lt;br /&gt;Inamed Silicone Gel-Filled Breast Implants - Textured Shell with Barrier Layer")</f>
        <v>Inamed Silicone-Filled Breast Implants - Smooth Shell with Barrier Layer&lt;br /&gt;Inamed Silicone Gel-Filled Breast Implants - Textured Shell with Barrier Layer</v>
      </c>
      <c r="B557" s="1" t="s">
        <v>1282</v>
      </c>
      <c r="C557" s="1" t="s">
        <v>1294</v>
      </c>
      <c r="D557" s="1" t="s">
        <v>919</v>
      </c>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row>
    <row r="558" spans="1:216" x14ac:dyDescent="0.3">
      <c r="A558" s="3" t="str">
        <f>HYPERLINK("https://hpr-rps.hres.ca/reg-content/summary-basis-decision-medical-device-detailTwo.php?lang=en&amp;linkID=SBD00363", "Edwards SAPIEN transcatheter heart valve")</f>
        <v>Edwards SAPIEN transcatheter heart valve</v>
      </c>
      <c r="B558" s="1" t="s">
        <v>1282</v>
      </c>
      <c r="C558" s="1" t="s">
        <v>1310</v>
      </c>
      <c r="D558" s="1" t="s">
        <v>943</v>
      </c>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row>
    <row r="559" spans="1:216" x14ac:dyDescent="0.3">
      <c r="A559" s="3" t="str">
        <f>HYPERLINK("https://hpr-rps.hres.ca/reg-content/summary-basis-decision-medical-device-detailTwo.php?lang=en&amp;linkID=SBD00364", "Symplicity TM")</f>
        <v>Symplicity TM</v>
      </c>
      <c r="B559" s="1" t="s">
        <v>1282</v>
      </c>
      <c r="C559" s="1" t="s">
        <v>1311</v>
      </c>
      <c r="D559" s="1" t="s">
        <v>946</v>
      </c>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row>
    <row r="560" spans="1:216" x14ac:dyDescent="0.3">
      <c r="A560" s="3" t="str">
        <f>HYPERLINK("https://hpr-rps.hres.ca/reg-content/summary-basis-decision-medical-device-detailTwo.php?lang=en&amp;linkID=SBD00369", "Medtronic CoreValve ®")</f>
        <v>Medtronic CoreValve ®</v>
      </c>
      <c r="B560" s="1" t="s">
        <v>1282</v>
      </c>
      <c r="C560" s="1" t="s">
        <v>1312</v>
      </c>
      <c r="D560" s="1" t="s">
        <v>956</v>
      </c>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row>
    <row r="561" spans="1:216" x14ac:dyDescent="0.3">
      <c r="A561" s="3" t="str">
        <f>HYPERLINK("https://hpr-rps.hres.ca/reg-content/summary-basis-decision-medical-device-detailThree.php?lang=en&amp;linkID=SBD00385", "Sorin Supra-Annular Heart Valves")</f>
        <v>Sorin Supra-Annular Heart Valves</v>
      </c>
      <c r="B561" s="1" t="s">
        <v>1282</v>
      </c>
      <c r="C561" s="1" t="s">
        <v>1313</v>
      </c>
      <c r="D561" s="1" t="s">
        <v>994</v>
      </c>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row>
    <row r="562" spans="1:216" x14ac:dyDescent="0.3">
      <c r="A562" s="3" t="str">
        <f>HYPERLINK("https://hpr-rps.hres.ca/reg-content/summary-basis-decision-medical-device-detailThree.php?lang=en&amp;linkID=SBD00386", "Perceval S Heart Valve")</f>
        <v>Perceval S Heart Valve</v>
      </c>
      <c r="B562" s="1" t="s">
        <v>1282</v>
      </c>
      <c r="C562" s="1" t="s">
        <v>1313</v>
      </c>
      <c r="D562" s="1" t="s">
        <v>979</v>
      </c>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row>
    <row r="563" spans="1:216" x14ac:dyDescent="0.3">
      <c r="A563" s="3" t="str">
        <f>HYPERLINK("https://hpr-rps.hres.ca/reg-content/summary-basis-decision-medical-device-detailThree.php?lang=en&amp;linkID=SBD00387", "Pantera Lux Paclitaxel releasing Percutaneous Transluminal Coronary Angioplasty (PTCA) Balloon Catheter")</f>
        <v>Pantera Lux Paclitaxel releasing Percutaneous Transluminal Coronary Angioplasty (PTCA) Balloon Catheter</v>
      </c>
      <c r="B563" s="1" t="s">
        <v>1282</v>
      </c>
      <c r="C563" s="1" t="s">
        <v>1314</v>
      </c>
      <c r="D563" s="1" t="s">
        <v>996</v>
      </c>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row>
    <row r="564" spans="1:216" x14ac:dyDescent="0.3">
      <c r="A564" s="3" t="str">
        <f>HYPERLINK("https://hpr-rps.hres.ca/reg-content/summary-basis-decision-medical-device-detailThree.php?lang=en&amp;linkID=SBD00388", "Lutonix 035 Drug Coated Balloon Percutaneous Transluminal Angioplasty Catheter")</f>
        <v>Lutonix 035 Drug Coated Balloon Percutaneous Transluminal Angioplasty Catheter</v>
      </c>
      <c r="B564" s="1" t="s">
        <v>1282</v>
      </c>
      <c r="C564" s="1" t="s">
        <v>1315</v>
      </c>
      <c r="D564" s="1" t="s">
        <v>998</v>
      </c>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row>
    <row r="565" spans="1:216" x14ac:dyDescent="0.3">
      <c r="A565" s="3" t="str">
        <f>HYPERLINK("https://hpr-rps.hres.ca/reg-content/summary-basis-decision-medical-device-detailThree.php?lang=en&amp;linkID=SBD00389", "Geenius HIV 1/2 Confirmatory Assay")</f>
        <v>Geenius HIV 1/2 Confirmatory Assay</v>
      </c>
      <c r="B565" s="1" t="s">
        <v>1282</v>
      </c>
      <c r="C565" s="1" t="s">
        <v>1316</v>
      </c>
      <c r="D565" s="1" t="s">
        <v>1001</v>
      </c>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row>
    <row r="566" spans="1:216" x14ac:dyDescent="0.3">
      <c r="A566" s="3" t="str">
        <f>HYPERLINK("https://hpr-rps.hres.ca/reg-content/summary-basis-decision-medical-device-detailThree.php?lang=en&amp;linkID=SBD00391", "Watchman Left Atrial Appendage Closure Device with Delivery System")</f>
        <v>Watchman Left Atrial Appendage Closure Device with Delivery System</v>
      </c>
      <c r="B566" s="1" t="s">
        <v>1282</v>
      </c>
      <c r="C566" s="1" t="s">
        <v>1293</v>
      </c>
      <c r="D566" s="1" t="s">
        <v>1006</v>
      </c>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row>
    <row r="567" spans="1:216" x14ac:dyDescent="0.3">
      <c r="A567" s="3" t="str">
        <f>HYPERLINK("https://hpr-rps.hres.ca/reg-content/summary-basis-decision-medical-device-detailThree.php?lang=en&amp;linkID=SBD00393", "Amplatzer Cardiac Plug")</f>
        <v>Amplatzer Cardiac Plug</v>
      </c>
      <c r="B567" s="1" t="s">
        <v>1282</v>
      </c>
      <c r="C567" s="1" t="s">
        <v>1317</v>
      </c>
      <c r="D567" s="1" t="s">
        <v>1014</v>
      </c>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row>
    <row r="568" spans="1:216" x14ac:dyDescent="0.3">
      <c r="A568" s="3" t="str">
        <f>HYPERLINK("https://hpr-rps.hres.ca/reg-content/summary-basis-decision-medical-device-detailThree.php?lang=en&amp;linkID=SBD00394", "Absorb GT1 Bioresorbable Vascular Scaffold System")</f>
        <v>Absorb GT1 Bioresorbable Vascular Scaffold System</v>
      </c>
      <c r="B568" s="1" t="s">
        <v>1282</v>
      </c>
      <c r="C568" s="1" t="s">
        <v>1318</v>
      </c>
      <c r="D568" s="1" t="s">
        <v>1016</v>
      </c>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row>
    <row r="569" spans="1:216" x14ac:dyDescent="0.3">
      <c r="A569" s="3" t="str">
        <f>HYPERLINK("https://hpr-rps.hres.ca/reg-content/summary-basis-decision-medical-device-detailThree.php?lang=en&amp;linkID=SBD00471", "Reprocessed Diagnostic Electrophysiology Catheters")</f>
        <v>Reprocessed Diagnostic Electrophysiology Catheters</v>
      </c>
      <c r="B569" s="1" t="s">
        <v>1282</v>
      </c>
      <c r="C569" s="1" t="s">
        <v>1319</v>
      </c>
      <c r="D569" s="1" t="s">
        <v>1189</v>
      </c>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row>
    <row r="570" spans="1:216" x14ac:dyDescent="0.3">
      <c r="A570" s="3" t="str">
        <f>HYPERLINK("https://hpr-rps.hres.ca/reg-content/summary-basis-decision-medical-device-detailThree.php?lang=en&amp;linkID=SBD00395", "Access HIV Combo")</f>
        <v>Access HIV Combo</v>
      </c>
      <c r="B570" s="1" t="s">
        <v>1282</v>
      </c>
      <c r="C570" s="1" t="s">
        <v>1320</v>
      </c>
      <c r="D570" s="1" t="s">
        <v>1011</v>
      </c>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row>
    <row r="571" spans="1:216" x14ac:dyDescent="0.3">
      <c r="A571" s="3" t="str">
        <f>HYPERLINK("https://hpr-rps.hres.ca/reg-content/summary-basis-decision-medical-device-detailThree.php?lang=en&amp;linkID=SBD00396", "Argus II Retinal Prosthesis System")</f>
        <v>Argus II Retinal Prosthesis System</v>
      </c>
      <c r="B571" s="1" t="s">
        <v>1282</v>
      </c>
      <c r="C571" s="1" t="s">
        <v>1321</v>
      </c>
      <c r="D571" s="1" t="s">
        <v>1018</v>
      </c>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row>
    <row r="572" spans="1:216" x14ac:dyDescent="0.3">
      <c r="A572" s="3" t="str">
        <f>HYPERLINK("https://hpr-rps.hres.ca/reg-content/summary-basis-decision-medical-device-detailThree.php?lang=en&amp;linkID=SBD00397", "Avioq HTLV-I/II Microelisa System")</f>
        <v>Avioq HTLV-I/II Microelisa System</v>
      </c>
      <c r="B572" s="1" t="s">
        <v>1282</v>
      </c>
      <c r="C572" s="1" t="s">
        <v>1322</v>
      </c>
      <c r="D572" s="1" t="s">
        <v>1021</v>
      </c>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row>
    <row r="573" spans="1:216" x14ac:dyDescent="0.3">
      <c r="A573" s="3" t="str">
        <f>HYPERLINK("https://hpr-rps.hres.ca/reg-content/summary-basis-decision-medical-device-detailThree.php?lang=en&amp;linkID=SBD00398", "Ideal Implant Saline-Filled Breast Implant")</f>
        <v>Ideal Implant Saline-Filled Breast Implant</v>
      </c>
      <c r="B573" s="1" t="s">
        <v>1282</v>
      </c>
      <c r="C573" s="1" t="s">
        <v>1323</v>
      </c>
      <c r="D573" s="1" t="s">
        <v>1023</v>
      </c>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row>
    <row r="574" spans="1:216" x14ac:dyDescent="0.3">
      <c r="A574" s="3" t="str">
        <f>HYPERLINK("https://hpr-rps.hres.ca/reg-content/summary-basis-decision-medical-device-detailThree.php?lang=en&amp;linkID=SBD00399", "INTERCEPT Blood System (formerly INTERCEPT Blood System for Plasma)")</f>
        <v>INTERCEPT Blood System (formerly INTERCEPT Blood System for Plasma)</v>
      </c>
      <c r="B574" s="1" t="s">
        <v>1282</v>
      </c>
      <c r="C574" s="1" t="s">
        <v>1324</v>
      </c>
      <c r="D574" s="1" t="s">
        <v>1025</v>
      </c>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row>
    <row r="575" spans="1:216" x14ac:dyDescent="0.3">
      <c r="A575" s="3" t="str">
        <f>HYPERLINK("https://hpr-rps.hres.ca/reg-content/summary-basis-decision-medical-device-detailThree.php?lang=en&amp;linkID=SBD00400", "Koning Breast CT System")</f>
        <v>Koning Breast CT System</v>
      </c>
      <c r="B575" s="1" t="s">
        <v>1282</v>
      </c>
      <c r="C575" s="1" t="s">
        <v>1325</v>
      </c>
      <c r="D575" s="1" t="s">
        <v>1027</v>
      </c>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row>
    <row r="576" spans="1:216" x14ac:dyDescent="0.3">
      <c r="A576" s="3" t="str">
        <f>HYPERLINK("https://hpr-rps.hres.ca/reg-content/summary-basis-decision-medical-device-detailThree.php?lang=en&amp;linkID=SBD00401", "Mevion S250 Proton Beam Radiation Therapy System")</f>
        <v>Mevion S250 Proton Beam Radiation Therapy System</v>
      </c>
      <c r="B576" s="1" t="s">
        <v>1282</v>
      </c>
      <c r="C576" s="1" t="s">
        <v>1326</v>
      </c>
      <c r="D576" s="1" t="s">
        <v>1327</v>
      </c>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row>
    <row r="577" spans="1:216" x14ac:dyDescent="0.3">
      <c r="A577" s="3" t="str">
        <f>HYPERLINK("https://hpr-rps.hres.ca/reg-content/summary-basis-decision-medical-device-detailThree.php?lang=en&amp;linkID=SBD00402", "MitraClip Clip Delivery System")</f>
        <v>MitraClip Clip Delivery System</v>
      </c>
      <c r="B577" s="1" t="s">
        <v>1282</v>
      </c>
      <c r="C577" s="1" t="s">
        <v>1328</v>
      </c>
      <c r="D577" s="1" t="s">
        <v>1030</v>
      </c>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row>
    <row r="578" spans="1:216" x14ac:dyDescent="0.3">
      <c r="A578" s="3" t="str">
        <f>HYPERLINK("https://hpr-rps.hres.ca/reg-content/summary-basis-decision-medical-device-detailThree.php?lang=en&amp;linkID=SBD00403", "SICD System")</f>
        <v>SICD System</v>
      </c>
      <c r="B578" s="1" t="s">
        <v>1282</v>
      </c>
      <c r="C578" s="1" t="s">
        <v>1329</v>
      </c>
      <c r="D578" s="1" t="s">
        <v>1032</v>
      </c>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row>
    <row r="579" spans="1:216" x14ac:dyDescent="0.3">
      <c r="A579" s="3" t="str">
        <f>HYPERLINK("https://hpr-rps.hres.ca/reg-content/summary-basis-decision-medical-device-detailThree.php?lang=en&amp;linkID=SBD00470", "HTLV-I/II")</f>
        <v>HTLV-I/II</v>
      </c>
      <c r="B579" s="1" t="s">
        <v>1282</v>
      </c>
      <c r="C579" s="1" t="s">
        <v>1330</v>
      </c>
      <c r="D579" s="1" t="s">
        <v>1100</v>
      </c>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row>
    <row r="580" spans="1:216" x14ac:dyDescent="0.3">
      <c r="A580" s="3" t="str">
        <f>HYPERLINK("https://hpr-rps.hres.ca/reg-content/summary-basis-decision-medical-device-detailThree.php?lang=en&amp;linkID=SBD00472", "Micra Transcatheter Pacing System")</f>
        <v>Micra Transcatheter Pacing System</v>
      </c>
      <c r="B580" s="1" t="s">
        <v>1282</v>
      </c>
      <c r="C580" s="1" t="s">
        <v>1304</v>
      </c>
      <c r="D580" s="1" t="s">
        <v>1192</v>
      </c>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row>
    <row r="581" spans="1:216" x14ac:dyDescent="0.3">
      <c r="A581" s="3" t="str">
        <f>HYPERLINK("https://hpr-rps.hres.ca/reg-content/summary-basis-decision-medical-device-detailThree.php?lang=en&amp;linkID=SBD00473", "IN.PACT Admiral Paclitaxel-Coated PTA Balloon Catheter")</f>
        <v>IN.PACT Admiral Paclitaxel-Coated PTA Balloon Catheter</v>
      </c>
      <c r="B581" s="1" t="s">
        <v>1282</v>
      </c>
      <c r="C581" s="1" t="s">
        <v>1304</v>
      </c>
      <c r="D581" s="1" t="s">
        <v>1194</v>
      </c>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row>
    <row r="582" spans="1:216" x14ac:dyDescent="0.3">
      <c r="A582" s="3" t="str">
        <f>HYPERLINK("https://hpr-rps.hres.ca/reg-content/summary-basis-decision-medical-device-detailThree.php?lang=en&amp;linkID=SBD00474", "Mammomat Inspiration")</f>
        <v>Mammomat Inspiration</v>
      </c>
      <c r="B582" s="1" t="s">
        <v>1282</v>
      </c>
      <c r="C582" s="1" t="s">
        <v>1331</v>
      </c>
      <c r="D582" s="1" t="s">
        <v>1196</v>
      </c>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row>
    <row r="583" spans="1:216" x14ac:dyDescent="0.3">
      <c r="A583" s="3" t="str">
        <f>HYPERLINK("https://hpr-rps.hres.ca/reg-content/summary-basis-decision-medical-device-detailThree.php?lang=en&amp;linkID=SBD00475", "Impella RP Circulatory Support System")</f>
        <v>Impella RP Circulatory Support System</v>
      </c>
      <c r="B583" s="1" t="s">
        <v>1282</v>
      </c>
      <c r="C583" s="1" t="s">
        <v>1332</v>
      </c>
      <c r="D583" s="1" t="s">
        <v>1198</v>
      </c>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row>
    <row r="584" spans="1:216" x14ac:dyDescent="0.3">
      <c r="A584" s="3" t="str">
        <f>HYPERLINK("https://hpr-rps.hres.ca/reg-content/summary-basis-decision-medical-device-detailThree.php?lang=en&amp;linkID=SBD00476", "MRIdian Linac System")</f>
        <v>MRIdian Linac System</v>
      </c>
      <c r="B584" s="1" t="s">
        <v>1282</v>
      </c>
      <c r="C584" s="1" t="s">
        <v>1333</v>
      </c>
      <c r="D584" s="1" t="s">
        <v>1200</v>
      </c>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row>
    <row r="585" spans="1:216" x14ac:dyDescent="0.3">
      <c r="A585" s="3" t="str">
        <f>HYPERLINK("https://hpr-rps.hres.ca/reg-content/summary-basis-decision-medical-device-detailThree.php?lang=en&amp;linkID=SBD00477", "Freestyle Libre Flash Glucose Monitoring System")</f>
        <v>Freestyle Libre Flash Glucose Monitoring System</v>
      </c>
      <c r="B585" s="1" t="s">
        <v>1282</v>
      </c>
      <c r="C585" s="1" t="s">
        <v>1334</v>
      </c>
      <c r="D585" s="1" t="s">
        <v>1202</v>
      </c>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row>
    <row r="586" spans="1:216" x14ac:dyDescent="0.3">
      <c r="A586" s="3" t="str">
        <f>HYPERLINK("https://hpr-rps.hres.ca/reg-content/summary-basis-decision-medical-device-detailOne.php?lang=en&amp;linkID=SBD00478", "Mentor MemoryGel CPG Breast Implants Cohesive III")</f>
        <v>Mentor MemoryGel CPG Breast Implants Cohesive III</v>
      </c>
      <c r="B586" s="1" t="s">
        <v>1282</v>
      </c>
      <c r="C586" s="1" t="s">
        <v>1284</v>
      </c>
      <c r="D586" s="1" t="s">
        <v>1203</v>
      </c>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row>
    <row r="587" spans="1:216" x14ac:dyDescent="0.3">
      <c r="A587" s="3" t="str">
        <f>HYPERLINK("https://hpr-rps.hres.ca/reg-content/summary-basis-decision-medical-device-detailOne.php?lang=en&amp;linkID=SBD00479", "Mentor MemoryGel Silicone Gel-Filled Breast Implants")</f>
        <v>Mentor MemoryGel Silicone Gel-Filled Breast Implants</v>
      </c>
      <c r="B587" s="1" t="s">
        <v>1282</v>
      </c>
      <c r="C587" s="1" t="s">
        <v>1285</v>
      </c>
      <c r="D587" s="1" t="s">
        <v>1205</v>
      </c>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row>
    <row r="588" spans="1:216" x14ac:dyDescent="0.3">
      <c r="A588" s="3" t="str">
        <f>HYPERLINK("https://hpr-rps.hres.ca/reg-content/summary-basis-decision-medical-device-detailThree.php?lang=en&amp;linkID=SBD00480", "CardioMEMS HF System")</f>
        <v>CardioMEMS HF System</v>
      </c>
      <c r="B588" s="1" t="s">
        <v>1282</v>
      </c>
      <c r="C588" s="1" t="s">
        <v>1335</v>
      </c>
      <c r="D588" s="1" t="s">
        <v>1206</v>
      </c>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row>
    <row r="589" spans="1:216" x14ac:dyDescent="0.3">
      <c r="A589" s="3" t="str">
        <f>HYPERLINK("https://hpr-rps.hres.ca/reg-content/summary-basis-decision-medical-device-detailThree.php?lang=en&amp;linkID=SBD00481", "HeartMate 3 Left Ventricular Assist System")</f>
        <v>HeartMate 3 Left Ventricular Assist System</v>
      </c>
      <c r="B589" s="1" t="s">
        <v>1282</v>
      </c>
      <c r="C589" s="1" t="s">
        <v>1307</v>
      </c>
      <c r="D589" s="1" t="s">
        <v>1209</v>
      </c>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row>
    <row r="590" spans="1:216" x14ac:dyDescent="0.3">
      <c r="A590" s="3" t="str">
        <f>HYPERLINK("https://hpr-rps.hres.ca/reg-content/summary-basis-decision-medical-device-detailThree.php?lang=en&amp;linkID=SBD00482", "Guardian Connect Continuous Glucose Monitoring System")</f>
        <v>Guardian Connect Continuous Glucose Monitoring System</v>
      </c>
      <c r="B590" s="1" t="s">
        <v>1282</v>
      </c>
      <c r="C590" s="1" t="s">
        <v>1336</v>
      </c>
      <c r="D590" s="1" t="s">
        <v>1211</v>
      </c>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row>
    <row r="591" spans="1:216" x14ac:dyDescent="0.3">
      <c r="A591" s="3" t="str">
        <f>HYPERLINK("https://hpr-rps.hres.ca/reg-content/summary-basis-decision-medical-device-detailThree.php?lang=en&amp;linkID=SBD00483", "MiniMed 670G")</f>
        <v>MiniMed 670G</v>
      </c>
      <c r="B591" s="1" t="s">
        <v>1282</v>
      </c>
      <c r="C591" s="1" t="s">
        <v>1336</v>
      </c>
      <c r="D591" s="1" t="s">
        <v>1173</v>
      </c>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row>
    <row r="592" spans="1:216" x14ac:dyDescent="0.3">
      <c r="A592" s="3" t="str">
        <f>HYPERLINK("https://hpr-rps.hres.ca/reg-content/summary-basis-decision-medical-device-detailThree.php?lang=en&amp;linkID=SBD00485", "Ascyrus Medical Dissection Stent")</f>
        <v>Ascyrus Medical Dissection Stent</v>
      </c>
      <c r="B592" s="1" t="s">
        <v>1282</v>
      </c>
      <c r="C592" s="1" t="s">
        <v>1337</v>
      </c>
      <c r="D592" s="1" t="s">
        <v>1215</v>
      </c>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row>
    <row r="593" spans="1:216" x14ac:dyDescent="0.3">
      <c r="A593" s="3" t="str">
        <f>HYPERLINK("https://hpr-rps.hres.ca/reg-content/summary-basis-decision-medical-device-detailThree.php?lang=en&amp;linkID=SBD00486", "BladderScan Prime Plus System")</f>
        <v>BladderScan Prime Plus System</v>
      </c>
      <c r="B593" s="1" t="s">
        <v>1282</v>
      </c>
      <c r="C593" s="1" t="s">
        <v>1338</v>
      </c>
      <c r="D593" s="1" t="s">
        <v>1216</v>
      </c>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row>
    <row r="594" spans="1:216" x14ac:dyDescent="0.3">
      <c r="A594" s="3" t="str">
        <f>HYPERLINK("https://hpr-rps.hres.ca/reg-content/summary-basis-decision-medical-device-detailThree.php?lang=en&amp;linkID=SBD00487", "TULSA-PRO system")</f>
        <v>TULSA-PRO system</v>
      </c>
      <c r="B594" s="1" t="s">
        <v>1282</v>
      </c>
      <c r="C594" s="1" t="s">
        <v>1339</v>
      </c>
      <c r="D594" s="1" t="s">
        <v>1218</v>
      </c>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row>
    <row r="595" spans="1:216" x14ac:dyDescent="0.3">
      <c r="A595" s="3"/>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row>
    <row r="596" spans="1:216" x14ac:dyDescent="0.3">
      <c r="A596" s="3"/>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row>
    <row r="597" spans="1:216" x14ac:dyDescent="0.3">
      <c r="A597" s="3"/>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row>
    <row r="598" spans="1:216" x14ac:dyDescent="0.3">
      <c r="A598" s="3"/>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row>
    <row r="599" spans="1:216" x14ac:dyDescent="0.3">
      <c r="A599" s="3"/>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row>
    <row r="600" spans="1:216" x14ac:dyDescent="0.3">
      <c r="A600" s="3"/>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row>
    <row r="601" spans="1:216" x14ac:dyDescent="0.3">
      <c r="A601" s="3"/>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row>
    <row r="602" spans="1:216" x14ac:dyDescent="0.3">
      <c r="A602" s="3"/>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row>
    <row r="603" spans="1:216" x14ac:dyDescent="0.3">
      <c r="A603" s="3"/>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row>
    <row r="604" spans="1:216" x14ac:dyDescent="0.3">
      <c r="A604" s="3"/>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row>
    <row r="605" spans="1:216" x14ac:dyDescent="0.3">
      <c r="A605" s="3"/>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row>
    <row r="606" spans="1:216" x14ac:dyDescent="0.3">
      <c r="A606" s="3"/>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row>
    <row r="607" spans="1:216" x14ac:dyDescent="0.3">
      <c r="A607" s="3"/>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row>
    <row r="608" spans="1:216" x14ac:dyDescent="0.3">
      <c r="A608" s="3"/>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row>
    <row r="609" spans="1:216" x14ac:dyDescent="0.3">
      <c r="A609" s="3"/>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row>
    <row r="610" spans="1:216" x14ac:dyDescent="0.3">
      <c r="A610" s="3"/>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row>
    <row r="611" spans="1:216" x14ac:dyDescent="0.3">
      <c r="A611" s="3"/>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row>
    <row r="612" spans="1:216" x14ac:dyDescent="0.3">
      <c r="A612" s="3"/>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row>
    <row r="613" spans="1:216" x14ac:dyDescent="0.3">
      <c r="A613" s="3"/>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row>
    <row r="614" spans="1:216" x14ac:dyDescent="0.3">
      <c r="A614" s="3"/>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row>
    <row r="615" spans="1:216" x14ac:dyDescent="0.3">
      <c r="A615" s="3"/>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row>
    <row r="616" spans="1:216" x14ac:dyDescent="0.3">
      <c r="A616" s="3"/>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row>
    <row r="617" spans="1:216" x14ac:dyDescent="0.3">
      <c r="A617" s="3"/>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row>
    <row r="618" spans="1:216" x14ac:dyDescent="0.3">
      <c r="A618" s="3"/>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row>
    <row r="619" spans="1:216" x14ac:dyDescent="0.3">
      <c r="A619" s="3"/>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row>
    <row r="620" spans="1:216" x14ac:dyDescent="0.3">
      <c r="A620" s="3"/>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row>
    <row r="621" spans="1:216" x14ac:dyDescent="0.3">
      <c r="A621" s="3"/>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row>
    <row r="622" spans="1:216" x14ac:dyDescent="0.3">
      <c r="A622" s="3"/>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row>
    <row r="623" spans="1:216" x14ac:dyDescent="0.3">
      <c r="A623" s="3"/>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row>
    <row r="624" spans="1:216" x14ac:dyDescent="0.3">
      <c r="A624" s="3"/>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row>
    <row r="625" spans="1:216" x14ac:dyDescent="0.3">
      <c r="A625" s="3"/>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row>
    <row r="626" spans="1:216" x14ac:dyDescent="0.3">
      <c r="A626" s="3"/>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row>
    <row r="627" spans="1:216" x14ac:dyDescent="0.3">
      <c r="A627" s="3"/>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row>
    <row r="628" spans="1:216" x14ac:dyDescent="0.3">
      <c r="A628" s="3"/>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row>
    <row r="629" spans="1:216" x14ac:dyDescent="0.3">
      <c r="A629" s="3"/>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row>
    <row r="630" spans="1:216" x14ac:dyDescent="0.3">
      <c r="A630" s="3"/>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row>
    <row r="631" spans="1:216" x14ac:dyDescent="0.3">
      <c r="A631" s="3"/>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row>
    <row r="632" spans="1:216" x14ac:dyDescent="0.3">
      <c r="A632" s="3"/>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row>
    <row r="633" spans="1:216" x14ac:dyDescent="0.3">
      <c r="A633" s="3"/>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row>
    <row r="634" spans="1:216" x14ac:dyDescent="0.3">
      <c r="A634" s="3"/>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row>
    <row r="635" spans="1:216" x14ac:dyDescent="0.3">
      <c r="A635" s="3"/>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row>
    <row r="636" spans="1:216" x14ac:dyDescent="0.3">
      <c r="A636" s="3"/>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row>
    <row r="637" spans="1:216" x14ac:dyDescent="0.3">
      <c r="A637" s="3"/>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row>
    <row r="638" spans="1:216" x14ac:dyDescent="0.3">
      <c r="A638" s="3"/>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row>
    <row r="639" spans="1:216" x14ac:dyDescent="0.3">
      <c r="A639" s="3"/>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row>
    <row r="640" spans="1:216" x14ac:dyDescent="0.3">
      <c r="A640" s="3"/>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row>
    <row r="641" spans="1:216" x14ac:dyDescent="0.3">
      <c r="A641" s="3"/>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row>
    <row r="642" spans="1:216" x14ac:dyDescent="0.3">
      <c r="A642" s="3"/>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row>
    <row r="643" spans="1:216" x14ac:dyDescent="0.3">
      <c r="A643" s="3"/>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row>
    <row r="644" spans="1:216" x14ac:dyDescent="0.3">
      <c r="A644" s="3"/>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row>
    <row r="645" spans="1:216" x14ac:dyDescent="0.3">
      <c r="A645" s="3"/>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row>
    <row r="646" spans="1:216" x14ac:dyDescent="0.3">
      <c r="A646" s="3"/>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row>
    <row r="647" spans="1:216" x14ac:dyDescent="0.3">
      <c r="A647" s="3"/>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row>
    <row r="648" spans="1:216" x14ac:dyDescent="0.3">
      <c r="A648" s="3"/>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row>
    <row r="649" spans="1:216" x14ac:dyDescent="0.3">
      <c r="A649" s="3"/>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row>
    <row r="650" spans="1:216" x14ac:dyDescent="0.3">
      <c r="A650" s="3"/>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row>
    <row r="651" spans="1:216" x14ac:dyDescent="0.3">
      <c r="A651" s="3"/>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row>
    <row r="652" spans="1:216" x14ac:dyDescent="0.3">
      <c r="A652" s="3"/>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row>
    <row r="653" spans="1:216" x14ac:dyDescent="0.3">
      <c r="A653" s="3"/>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row>
    <row r="654" spans="1:216" x14ac:dyDescent="0.3">
      <c r="A654" s="3"/>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row>
    <row r="655" spans="1:216" x14ac:dyDescent="0.3">
      <c r="A655" s="3"/>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row>
    <row r="656" spans="1:216" x14ac:dyDescent="0.3">
      <c r="A656" s="3"/>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row>
    <row r="657" spans="1:216" x14ac:dyDescent="0.3">
      <c r="A657" s="3"/>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row>
    <row r="658" spans="1:216" x14ac:dyDescent="0.3">
      <c r="A658" s="3"/>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row>
    <row r="659" spans="1:216" x14ac:dyDescent="0.3">
      <c r="A659" s="3"/>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row>
    <row r="660" spans="1:216" x14ac:dyDescent="0.3">
      <c r="A660" s="3"/>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row>
    <row r="661" spans="1:216" x14ac:dyDescent="0.3">
      <c r="A661" s="3"/>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row>
    <row r="662" spans="1:216" x14ac:dyDescent="0.3">
      <c r="A662" s="3"/>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row>
    <row r="663" spans="1:216" x14ac:dyDescent="0.3">
      <c r="A663" s="3"/>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row>
    <row r="664" spans="1:216" x14ac:dyDescent="0.3">
      <c r="A664" s="3"/>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row>
    <row r="665" spans="1:216" x14ac:dyDescent="0.3">
      <c r="A665" s="3"/>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row>
    <row r="666" spans="1:216" x14ac:dyDescent="0.3">
      <c r="A666" s="3"/>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row>
    <row r="667" spans="1:216" x14ac:dyDescent="0.3">
      <c r="A667" s="3"/>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row>
    <row r="668" spans="1:216" x14ac:dyDescent="0.3">
      <c r="A668" s="3"/>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row>
    <row r="669" spans="1:216" x14ac:dyDescent="0.3">
      <c r="A669" s="3"/>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row>
    <row r="670" spans="1:216" x14ac:dyDescent="0.3">
      <c r="A670" s="3"/>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row>
    <row r="671" spans="1:216" x14ac:dyDescent="0.3">
      <c r="A671" s="3"/>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row>
    <row r="672" spans="1:216" x14ac:dyDescent="0.3">
      <c r="A672" s="3"/>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row>
    <row r="673" spans="1:216" x14ac:dyDescent="0.3">
      <c r="A673" s="3"/>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row>
    <row r="674" spans="1:216" x14ac:dyDescent="0.3">
      <c r="A674" s="3"/>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row>
    <row r="675" spans="1:216" x14ac:dyDescent="0.3">
      <c r="A675" s="3"/>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row>
    <row r="676" spans="1:216" x14ac:dyDescent="0.3">
      <c r="A676" s="3"/>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row>
    <row r="677" spans="1:216" x14ac:dyDescent="0.3">
      <c r="A677" s="3"/>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row>
    <row r="678" spans="1:216" x14ac:dyDescent="0.3">
      <c r="A678" s="3"/>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row>
    <row r="679" spans="1:216" x14ac:dyDescent="0.3">
      <c r="A679" s="3"/>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row>
    <row r="680" spans="1:216" x14ac:dyDescent="0.3">
      <c r="A680" s="3"/>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row>
    <row r="681" spans="1:216" x14ac:dyDescent="0.3">
      <c r="A681" s="3"/>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row>
    <row r="682" spans="1:216" x14ac:dyDescent="0.3">
      <c r="A682" s="3"/>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row>
    <row r="683" spans="1:216" x14ac:dyDescent="0.3">
      <c r="A683" s="3"/>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row>
    <row r="684" spans="1:216" x14ac:dyDescent="0.3">
      <c r="A684" s="3"/>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row>
    <row r="685" spans="1:216" x14ac:dyDescent="0.3">
      <c r="A685" s="3"/>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row>
    <row r="686" spans="1:216" x14ac:dyDescent="0.3">
      <c r="A686" s="3"/>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row>
    <row r="687" spans="1:216" x14ac:dyDescent="0.3">
      <c r="A687" s="3"/>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row>
    <row r="688" spans="1:216" x14ac:dyDescent="0.3">
      <c r="A688" s="3"/>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row>
    <row r="689" spans="1:216" x14ac:dyDescent="0.3">
      <c r="A689" s="3"/>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row>
    <row r="690" spans="1:216" x14ac:dyDescent="0.3">
      <c r="A690" s="3"/>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row>
    <row r="691" spans="1:216" x14ac:dyDescent="0.3">
      <c r="A691" s="3"/>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row>
    <row r="692" spans="1:216" x14ac:dyDescent="0.3">
      <c r="A692" s="3"/>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row>
    <row r="693" spans="1:216" x14ac:dyDescent="0.3">
      <c r="A693" s="3"/>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row>
    <row r="694" spans="1:216" x14ac:dyDescent="0.3">
      <c r="A694" s="3"/>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row>
    <row r="695" spans="1:216" x14ac:dyDescent="0.3">
      <c r="A695" s="3"/>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row>
    <row r="696" spans="1:216" x14ac:dyDescent="0.3">
      <c r="A696" s="3"/>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row>
    <row r="697" spans="1:216" x14ac:dyDescent="0.3">
      <c r="A697" s="3"/>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row>
    <row r="698" spans="1:216" x14ac:dyDescent="0.3">
      <c r="A698" s="3"/>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row>
    <row r="699" spans="1:216" x14ac:dyDescent="0.3">
      <c r="A699" s="3"/>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row>
    <row r="700" spans="1:216" x14ac:dyDescent="0.3">
      <c r="A700" s="3"/>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row>
    <row r="701" spans="1:216" x14ac:dyDescent="0.3">
      <c r="A701" s="3"/>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row>
    <row r="702" spans="1:216" x14ac:dyDescent="0.3">
      <c r="A702" s="3"/>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row>
    <row r="703" spans="1:216" x14ac:dyDescent="0.3">
      <c r="A703" s="3"/>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row>
    <row r="704" spans="1:216" x14ac:dyDescent="0.3">
      <c r="A704" s="3"/>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row>
    <row r="705" spans="1:216" x14ac:dyDescent="0.3">
      <c r="A705" s="3"/>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row>
    <row r="706" spans="1:216" x14ac:dyDescent="0.3">
      <c r="A706" s="3"/>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row>
    <row r="707" spans="1:216" x14ac:dyDescent="0.3">
      <c r="A707" s="3"/>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row>
    <row r="708" spans="1:216" x14ac:dyDescent="0.3">
      <c r="A708" s="3"/>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row>
    <row r="709" spans="1:216" x14ac:dyDescent="0.3">
      <c r="A709" s="3"/>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row>
    <row r="710" spans="1:216" x14ac:dyDescent="0.3">
      <c r="A710" s="3"/>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row>
    <row r="711" spans="1:216" x14ac:dyDescent="0.3">
      <c r="A711" s="3"/>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row>
    <row r="712" spans="1:216" x14ac:dyDescent="0.3">
      <c r="A712" s="3"/>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row>
    <row r="713" spans="1:216" x14ac:dyDescent="0.3">
      <c r="A713" s="3"/>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row>
    <row r="714" spans="1:216" x14ac:dyDescent="0.3">
      <c r="A714" s="3"/>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row>
    <row r="715" spans="1:216" x14ac:dyDescent="0.3">
      <c r="A715" s="3"/>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row>
    <row r="716" spans="1:216" x14ac:dyDescent="0.3">
      <c r="A716" s="3"/>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row>
    <row r="717" spans="1:216" x14ac:dyDescent="0.3">
      <c r="A717" s="3"/>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row>
    <row r="718" spans="1:216" x14ac:dyDescent="0.3">
      <c r="A718" s="3"/>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row>
    <row r="719" spans="1:216" x14ac:dyDescent="0.3">
      <c r="A719" s="3"/>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row>
    <row r="720" spans="1:216" x14ac:dyDescent="0.3">
      <c r="A720" s="3"/>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row>
    <row r="721" spans="1:216" x14ac:dyDescent="0.3">
      <c r="A721" s="3"/>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row>
    <row r="722" spans="1:216" x14ac:dyDescent="0.3">
      <c r="A722" s="3"/>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row>
    <row r="723" spans="1:216" x14ac:dyDescent="0.3">
      <c r="A723" s="3"/>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row>
    <row r="724" spans="1:216" x14ac:dyDescent="0.3">
      <c r="A724" s="3"/>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row>
    <row r="725" spans="1:216" x14ac:dyDescent="0.3">
      <c r="A725" s="3"/>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row>
    <row r="726" spans="1:216" x14ac:dyDescent="0.3">
      <c r="A726" s="3"/>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row>
    <row r="727" spans="1:216" x14ac:dyDescent="0.3">
      <c r="A727" s="3"/>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row>
    <row r="728" spans="1:216" x14ac:dyDescent="0.3">
      <c r="A728" s="3"/>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row>
    <row r="729" spans="1:216" x14ac:dyDescent="0.3">
      <c r="A729" s="3"/>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row>
    <row r="730" spans="1:216" x14ac:dyDescent="0.3">
      <c r="A730" s="3"/>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row>
    <row r="731" spans="1:216" x14ac:dyDescent="0.3">
      <c r="A731" s="3"/>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row>
    <row r="732" spans="1:216" x14ac:dyDescent="0.3">
      <c r="A732" s="3"/>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row>
    <row r="733" spans="1:216" x14ac:dyDescent="0.3">
      <c r="A733" s="3"/>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row>
    <row r="734" spans="1:216" x14ac:dyDescent="0.3">
      <c r="A734" s="3"/>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row>
    <row r="735" spans="1:216" x14ac:dyDescent="0.3">
      <c r="A735" s="3"/>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row>
    <row r="736" spans="1:216" x14ac:dyDescent="0.3">
      <c r="A736" s="3"/>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row>
    <row r="737" spans="1:216" x14ac:dyDescent="0.3">
      <c r="A737" s="3"/>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row>
    <row r="738" spans="1:216" x14ac:dyDescent="0.3">
      <c r="A738" s="3"/>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row>
    <row r="739" spans="1:216" x14ac:dyDescent="0.3">
      <c r="A739" s="3"/>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row>
    <row r="740" spans="1:216" x14ac:dyDescent="0.3">
      <c r="A740" s="3"/>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row>
    <row r="741" spans="1:216" x14ac:dyDescent="0.3">
      <c r="A741" s="3"/>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row>
    <row r="742" spans="1:216" x14ac:dyDescent="0.3">
      <c r="A742" s="3"/>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row>
    <row r="743" spans="1:216" x14ac:dyDescent="0.3">
      <c r="A743" s="3"/>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row>
    <row r="744" spans="1:216" x14ac:dyDescent="0.3">
      <c r="A744" s="3"/>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row>
    <row r="745" spans="1:216" x14ac:dyDescent="0.3">
      <c r="A745" s="3"/>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row>
    <row r="746" spans="1:216" x14ac:dyDescent="0.3">
      <c r="A746" s="3"/>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row>
    <row r="747" spans="1:216" x14ac:dyDescent="0.3">
      <c r="A747" s="3"/>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row>
    <row r="748" spans="1:216" x14ac:dyDescent="0.3">
      <c r="A748" s="3"/>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row>
    <row r="749" spans="1:216" x14ac:dyDescent="0.3">
      <c r="A749" s="3"/>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row>
    <row r="750" spans="1:216" x14ac:dyDescent="0.3">
      <c r="A750" s="3"/>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row>
    <row r="751" spans="1:216" x14ac:dyDescent="0.3">
      <c r="A751" s="3"/>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row>
    <row r="752" spans="1:216" x14ac:dyDescent="0.3">
      <c r="A752" s="3"/>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row>
    <row r="753" spans="1:216" x14ac:dyDescent="0.3">
      <c r="A753" s="3"/>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row>
    <row r="754" spans="1:216" x14ac:dyDescent="0.3">
      <c r="A754" s="3"/>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row>
    <row r="755" spans="1:216" x14ac:dyDescent="0.3">
      <c r="A755" s="3"/>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row>
    <row r="756" spans="1:216" x14ac:dyDescent="0.3">
      <c r="A756" s="3"/>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row>
    <row r="757" spans="1:216" x14ac:dyDescent="0.3">
      <c r="A757" s="3"/>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row>
    <row r="758" spans="1:216" x14ac:dyDescent="0.3">
      <c r="A758" s="3"/>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row>
    <row r="759" spans="1:216" x14ac:dyDescent="0.3">
      <c r="A759" s="3"/>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row>
    <row r="760" spans="1:216" x14ac:dyDescent="0.3">
      <c r="A760" s="3"/>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row>
    <row r="761" spans="1:216" x14ac:dyDescent="0.3">
      <c r="A761" s="3"/>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row>
    <row r="762" spans="1:216" x14ac:dyDescent="0.3">
      <c r="A762" s="3"/>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row>
    <row r="763" spans="1:216" x14ac:dyDescent="0.3">
      <c r="A763" s="3"/>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row>
    <row r="764" spans="1:216" x14ac:dyDescent="0.3">
      <c r="A764" s="3"/>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row>
    <row r="765" spans="1:216" x14ac:dyDescent="0.3">
      <c r="A765" s="3"/>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row>
    <row r="766" spans="1:216" x14ac:dyDescent="0.3">
      <c r="A766" s="3"/>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row>
    <row r="767" spans="1:216" x14ac:dyDescent="0.3">
      <c r="A767" s="3"/>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row>
    <row r="768" spans="1:216" x14ac:dyDescent="0.3">
      <c r="A768" s="3"/>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row>
    <row r="769" spans="1:216" x14ac:dyDescent="0.3">
      <c r="A769" s="3"/>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row>
    <row r="770" spans="1:216" x14ac:dyDescent="0.3">
      <c r="A770" s="3"/>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row>
    <row r="771" spans="1:216" x14ac:dyDescent="0.3">
      <c r="A771" s="3"/>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row>
    <row r="772" spans="1:216" x14ac:dyDescent="0.3">
      <c r="A772" s="3"/>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row>
    <row r="773" spans="1:216" x14ac:dyDescent="0.3">
      <c r="A773" s="3"/>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row>
    <row r="774" spans="1:216" x14ac:dyDescent="0.3">
      <c r="A774" s="3"/>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row>
    <row r="775" spans="1:216" x14ac:dyDescent="0.3">
      <c r="A775" s="3"/>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row>
    <row r="776" spans="1:216" x14ac:dyDescent="0.3">
      <c r="A776" s="3"/>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row>
    <row r="777" spans="1:216" x14ac:dyDescent="0.3">
      <c r="A777" s="3"/>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row>
    <row r="778" spans="1:216" x14ac:dyDescent="0.3">
      <c r="A778" s="3"/>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row>
    <row r="779" spans="1:216" x14ac:dyDescent="0.3">
      <c r="A779" s="3"/>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row>
    <row r="780" spans="1:216" x14ac:dyDescent="0.3">
      <c r="A780" s="3"/>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row>
    <row r="781" spans="1:216" x14ac:dyDescent="0.3">
      <c r="A781" s="3"/>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row>
    <row r="782" spans="1:216" x14ac:dyDescent="0.3">
      <c r="A782" s="3"/>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row>
    <row r="783" spans="1:216" x14ac:dyDescent="0.3">
      <c r="A783" s="3"/>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row>
    <row r="784" spans="1:216" x14ac:dyDescent="0.3">
      <c r="A784" s="3"/>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row>
    <row r="785" spans="1:216" x14ac:dyDescent="0.3">
      <c r="A785" s="3"/>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row>
    <row r="786" spans="1:216" x14ac:dyDescent="0.3">
      <c r="A786" s="3"/>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row>
    <row r="787" spans="1:216" x14ac:dyDescent="0.3">
      <c r="A787" s="3"/>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row>
    <row r="788" spans="1:216" x14ac:dyDescent="0.3">
      <c r="A788" s="3"/>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row>
    <row r="789" spans="1:216" x14ac:dyDescent="0.3">
      <c r="A789" s="3"/>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row>
    <row r="790" spans="1:216" x14ac:dyDescent="0.3">
      <c r="A790" s="3"/>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row>
    <row r="791" spans="1:216" x14ac:dyDescent="0.3">
      <c r="A791" s="3"/>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row>
    <row r="792" spans="1:216" x14ac:dyDescent="0.3">
      <c r="A792" s="3"/>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row>
    <row r="793" spans="1:216" x14ac:dyDescent="0.3">
      <c r="A793" s="3"/>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row>
    <row r="794" spans="1:216" x14ac:dyDescent="0.3">
      <c r="A794" s="3"/>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row>
    <row r="795" spans="1:216" x14ac:dyDescent="0.3">
      <c r="A795" s="3"/>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row>
    <row r="796" spans="1:216" x14ac:dyDescent="0.3">
      <c r="A796" s="3"/>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row>
    <row r="797" spans="1:216" x14ac:dyDescent="0.3">
      <c r="A797" s="3"/>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row>
    <row r="798" spans="1:216" x14ac:dyDescent="0.3">
      <c r="A798" s="3"/>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row>
    <row r="799" spans="1:216" x14ac:dyDescent="0.3">
      <c r="A799" s="3"/>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row>
    <row r="800" spans="1:216" x14ac:dyDescent="0.3">
      <c r="A800" s="3"/>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row>
    <row r="801" spans="1:216" x14ac:dyDescent="0.3">
      <c r="A801" s="3"/>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row>
    <row r="802" spans="1:216" x14ac:dyDescent="0.3">
      <c r="A802" s="3"/>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row>
    <row r="803" spans="1:216" x14ac:dyDescent="0.3">
      <c r="A803" s="3"/>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row>
    <row r="804" spans="1:216" x14ac:dyDescent="0.3">
      <c r="A804" s="3"/>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row>
    <row r="805" spans="1:216" x14ac:dyDescent="0.3">
      <c r="A805" s="3"/>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row>
    <row r="806" spans="1:216" x14ac:dyDescent="0.3">
      <c r="A806" s="3"/>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row>
    <row r="807" spans="1:216" x14ac:dyDescent="0.3">
      <c r="A807" s="3"/>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row>
    <row r="808" spans="1:216" x14ac:dyDescent="0.3">
      <c r="A808" s="3"/>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row>
    <row r="809" spans="1:216" x14ac:dyDescent="0.3">
      <c r="A809" s="3"/>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row>
    <row r="810" spans="1:216" x14ac:dyDescent="0.3">
      <c r="A810" s="3"/>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row>
    <row r="811" spans="1:216" x14ac:dyDescent="0.3">
      <c r="A811" s="3"/>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row>
    <row r="812" spans="1:216" x14ac:dyDescent="0.3">
      <c r="A812" s="3"/>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row>
    <row r="813" spans="1:216" x14ac:dyDescent="0.3">
      <c r="A813" s="3"/>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row>
    <row r="814" spans="1:216" x14ac:dyDescent="0.3">
      <c r="A814" s="3"/>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row>
    <row r="815" spans="1:216" x14ac:dyDescent="0.3">
      <c r="A815" s="3"/>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row>
    <row r="816" spans="1:216" x14ac:dyDescent="0.3">
      <c r="A816" s="3"/>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row>
    <row r="817" spans="1:216" x14ac:dyDescent="0.3">
      <c r="A817" s="3"/>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row>
    <row r="818" spans="1:216" x14ac:dyDescent="0.3">
      <c r="A818" s="3"/>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row>
    <row r="819" spans="1:216" x14ac:dyDescent="0.3">
      <c r="A819" s="3"/>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row>
    <row r="820" spans="1:216" x14ac:dyDescent="0.3">
      <c r="A820" s="3"/>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row>
    <row r="821" spans="1:216" x14ac:dyDescent="0.3">
      <c r="A821" s="3"/>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row>
    <row r="822" spans="1:216" x14ac:dyDescent="0.3">
      <c r="A822" s="3"/>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row>
    <row r="823" spans="1:216" x14ac:dyDescent="0.3">
      <c r="A823" s="3"/>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row>
    <row r="824" spans="1:216" x14ac:dyDescent="0.3">
      <c r="A824" s="3"/>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row>
    <row r="825" spans="1:216" x14ac:dyDescent="0.3">
      <c r="A825" s="3"/>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row>
    <row r="826" spans="1:216" x14ac:dyDescent="0.3">
      <c r="A826" s="3"/>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row>
    <row r="827" spans="1:216" x14ac:dyDescent="0.3">
      <c r="A827" s="3"/>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row>
    <row r="828" spans="1:216" x14ac:dyDescent="0.3">
      <c r="A828" s="3"/>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row>
    <row r="829" spans="1:216" x14ac:dyDescent="0.3">
      <c r="A829" s="3"/>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row>
    <row r="830" spans="1:216" x14ac:dyDescent="0.3">
      <c r="A830" s="3"/>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row>
    <row r="831" spans="1:216" x14ac:dyDescent="0.3">
      <c r="A831" s="3"/>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row>
    <row r="832" spans="1:216" x14ac:dyDescent="0.3">
      <c r="A832" s="3"/>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row>
    <row r="833" spans="1:216" x14ac:dyDescent="0.3">
      <c r="A833" s="3"/>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row>
    <row r="834" spans="1:216" x14ac:dyDescent="0.3">
      <c r="A834" s="3"/>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row>
    <row r="835" spans="1:216" x14ac:dyDescent="0.3">
      <c r="A835" s="3"/>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row>
    <row r="836" spans="1:216" x14ac:dyDescent="0.3">
      <c r="A836" s="3"/>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row>
    <row r="837" spans="1:216" x14ac:dyDescent="0.3">
      <c r="A837" s="3"/>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row>
    <row r="838" spans="1:216" x14ac:dyDescent="0.3">
      <c r="A838" s="3"/>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row>
    <row r="839" spans="1:216" x14ac:dyDescent="0.3">
      <c r="A839" s="3"/>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row>
    <row r="840" spans="1:216" x14ac:dyDescent="0.3">
      <c r="A840" s="3"/>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row>
    <row r="841" spans="1:216" x14ac:dyDescent="0.3">
      <c r="A841" s="3"/>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row>
    <row r="842" spans="1:216" x14ac:dyDescent="0.3">
      <c r="A842" s="3"/>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row>
    <row r="843" spans="1:216" x14ac:dyDescent="0.3">
      <c r="A843" s="3"/>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row>
    <row r="844" spans="1:216" x14ac:dyDescent="0.3">
      <c r="A844" s="3"/>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row>
    <row r="845" spans="1:216" x14ac:dyDescent="0.3">
      <c r="A845" s="3"/>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row>
    <row r="846" spans="1:216" x14ac:dyDescent="0.3">
      <c r="A846" s="3"/>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row>
    <row r="847" spans="1:216" x14ac:dyDescent="0.3">
      <c r="A847" s="3"/>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row>
    <row r="848" spans="1:216" x14ac:dyDescent="0.3">
      <c r="A848" s="3"/>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row>
    <row r="849" spans="1:216" x14ac:dyDescent="0.3">
      <c r="A849" s="3"/>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row>
    <row r="850" spans="1:216" x14ac:dyDescent="0.3">
      <c r="A850" s="3"/>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row>
    <row r="851" spans="1:216" x14ac:dyDescent="0.3">
      <c r="A851" s="3"/>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row>
    <row r="852" spans="1:216" x14ac:dyDescent="0.3">
      <c r="A852" s="3"/>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row>
    <row r="853" spans="1:216" x14ac:dyDescent="0.3">
      <c r="A853" s="3"/>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row>
    <row r="854" spans="1:216" x14ac:dyDescent="0.3">
      <c r="A854" s="3"/>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row>
    <row r="855" spans="1:216" x14ac:dyDescent="0.3">
      <c r="A855" s="3"/>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row>
    <row r="856" spans="1:216" x14ac:dyDescent="0.3">
      <c r="A856" s="3"/>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row>
    <row r="857" spans="1:216" x14ac:dyDescent="0.3">
      <c r="A857" s="3"/>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row>
    <row r="858" spans="1:216" x14ac:dyDescent="0.3">
      <c r="A858" s="3"/>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row>
    <row r="859" spans="1:216" x14ac:dyDescent="0.3">
      <c r="A859" s="3"/>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row>
    <row r="860" spans="1:216" x14ac:dyDescent="0.3">
      <c r="A860" s="3"/>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row>
    <row r="861" spans="1:216" x14ac:dyDescent="0.3">
      <c r="A861" s="3"/>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row>
    <row r="862" spans="1:216" x14ac:dyDescent="0.3">
      <c r="A862" s="3"/>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row>
    <row r="863" spans="1:216" x14ac:dyDescent="0.3">
      <c r="A863" s="3"/>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row>
    <row r="864" spans="1:216" x14ac:dyDescent="0.3">
      <c r="A864" s="3"/>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row>
    <row r="865" spans="1:216" x14ac:dyDescent="0.3">
      <c r="A865" s="3"/>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row>
    <row r="866" spans="1:216" x14ac:dyDescent="0.3">
      <c r="A866" s="3"/>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row>
    <row r="867" spans="1:216" x14ac:dyDescent="0.3">
      <c r="A867" s="3"/>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row>
    <row r="868" spans="1:216" x14ac:dyDescent="0.3">
      <c r="A868" s="3"/>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row>
    <row r="869" spans="1:216" x14ac:dyDescent="0.3">
      <c r="A869" s="3"/>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row>
    <row r="870" spans="1:216" x14ac:dyDescent="0.3">
      <c r="A870" s="3"/>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row>
    <row r="871" spans="1:216" x14ac:dyDescent="0.3">
      <c r="A871" s="3"/>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row>
    <row r="872" spans="1:216" x14ac:dyDescent="0.3">
      <c r="A872" s="3"/>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row>
    <row r="873" spans="1:216" x14ac:dyDescent="0.3">
      <c r="A873" s="3"/>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row>
    <row r="874" spans="1:216" x14ac:dyDescent="0.3">
      <c r="A874" s="3"/>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row>
    <row r="875" spans="1:216" x14ac:dyDescent="0.3">
      <c r="A875" s="3"/>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row>
    <row r="876" spans="1:216" x14ac:dyDescent="0.3">
      <c r="A876" s="3"/>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row>
    <row r="877" spans="1:216" x14ac:dyDescent="0.3">
      <c r="A877" s="3"/>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row>
    <row r="878" spans="1:216" x14ac:dyDescent="0.3">
      <c r="A878" s="3"/>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row>
    <row r="879" spans="1:216" x14ac:dyDescent="0.3">
      <c r="A879" s="3"/>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row>
    <row r="880" spans="1:216" x14ac:dyDescent="0.3">
      <c r="A880" s="3"/>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row>
    <row r="881" spans="1:216" x14ac:dyDescent="0.3">
      <c r="A881" s="3"/>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row>
    <row r="882" spans="1:216" x14ac:dyDescent="0.3">
      <c r="A882" s="3"/>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row>
    <row r="883" spans="1:216" x14ac:dyDescent="0.3">
      <c r="A883" s="3"/>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row>
    <row r="884" spans="1:216" x14ac:dyDescent="0.3">
      <c r="A884" s="3"/>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row>
    <row r="885" spans="1:216" x14ac:dyDescent="0.3">
      <c r="A885" s="3"/>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row>
    <row r="886" spans="1:216" x14ac:dyDescent="0.3">
      <c r="A886" s="3"/>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row>
    <row r="887" spans="1:216" x14ac:dyDescent="0.3">
      <c r="A887" s="3"/>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row>
    <row r="888" spans="1:216" x14ac:dyDescent="0.3">
      <c r="A888" s="3"/>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row>
    <row r="889" spans="1:216" x14ac:dyDescent="0.3">
      <c r="A889" s="3"/>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row>
    <row r="890" spans="1:216" x14ac:dyDescent="0.3">
      <c r="A890" s="3"/>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row>
    <row r="891" spans="1:216" x14ac:dyDescent="0.3">
      <c r="A891" s="3"/>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row>
    <row r="892" spans="1:216" x14ac:dyDescent="0.3">
      <c r="A892" s="3"/>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row>
    <row r="893" spans="1:216" x14ac:dyDescent="0.3">
      <c r="A893" s="3"/>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row>
    <row r="894" spans="1:216" x14ac:dyDescent="0.3">
      <c r="A894" s="3"/>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row>
    <row r="895" spans="1:216" x14ac:dyDescent="0.3">
      <c r="A895" s="3"/>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row>
    <row r="896" spans="1:216" x14ac:dyDescent="0.3">
      <c r="A896" s="3"/>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row>
    <row r="897" spans="1:216" x14ac:dyDescent="0.3">
      <c r="A897" s="3"/>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row>
    <row r="898" spans="1:216" x14ac:dyDescent="0.3">
      <c r="A898" s="3"/>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row>
    <row r="899" spans="1:216" x14ac:dyDescent="0.3">
      <c r="A899" s="3"/>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row>
    <row r="900" spans="1:216" x14ac:dyDescent="0.3">
      <c r="A900" s="3"/>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row>
    <row r="901" spans="1:216" x14ac:dyDescent="0.3">
      <c r="A901" s="3"/>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row>
    <row r="902" spans="1:216" x14ac:dyDescent="0.3">
      <c r="A902" s="3"/>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row>
    <row r="903" spans="1:216" x14ac:dyDescent="0.3">
      <c r="A903" s="3"/>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row>
    <row r="904" spans="1:216" x14ac:dyDescent="0.3">
      <c r="A904" s="3"/>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row>
    <row r="905" spans="1:216" x14ac:dyDescent="0.3">
      <c r="A905" s="3"/>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row>
    <row r="906" spans="1:216" x14ac:dyDescent="0.3">
      <c r="A906" s="3"/>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row>
    <row r="907" spans="1:216" x14ac:dyDescent="0.3">
      <c r="A907" s="3"/>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row>
    <row r="908" spans="1:216" x14ac:dyDescent="0.3">
      <c r="A908" s="3"/>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row>
    <row r="909" spans="1:216" x14ac:dyDescent="0.3">
      <c r="A909" s="3"/>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row>
    <row r="910" spans="1:216" x14ac:dyDescent="0.3">
      <c r="A910" s="3"/>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row>
    <row r="911" spans="1:216" x14ac:dyDescent="0.3">
      <c r="A911" s="3"/>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row>
    <row r="912" spans="1:216" x14ac:dyDescent="0.3">
      <c r="A912" s="3"/>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row>
    <row r="913" spans="1:216" x14ac:dyDescent="0.3">
      <c r="A913" s="3"/>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row>
    <row r="914" spans="1:216" x14ac:dyDescent="0.3">
      <c r="A914" s="3"/>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row>
    <row r="915" spans="1:216" x14ac:dyDescent="0.3">
      <c r="A915" s="3"/>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row>
    <row r="916" spans="1:216" x14ac:dyDescent="0.3">
      <c r="A916" s="3"/>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row>
    <row r="917" spans="1:216" x14ac:dyDescent="0.3">
      <c r="A917" s="3"/>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row>
    <row r="918" spans="1:216" x14ac:dyDescent="0.3">
      <c r="A918" s="3"/>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row>
    <row r="919" spans="1:216" x14ac:dyDescent="0.3">
      <c r="A919" s="3"/>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row>
    <row r="920" spans="1:216" x14ac:dyDescent="0.3">
      <c r="A920" s="3"/>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row>
    <row r="921" spans="1:216" x14ac:dyDescent="0.3">
      <c r="A921" s="3"/>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row>
    <row r="922" spans="1:216" x14ac:dyDescent="0.3">
      <c r="A922" s="3"/>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row>
    <row r="923" spans="1:216" x14ac:dyDescent="0.3">
      <c r="A923" s="3"/>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row>
    <row r="924" spans="1:216" x14ac:dyDescent="0.3">
      <c r="A924" s="3"/>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row>
    <row r="925" spans="1:216" x14ac:dyDescent="0.3">
      <c r="A925" s="3"/>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row>
    <row r="926" spans="1:216" x14ac:dyDescent="0.3">
      <c r="A926" s="3"/>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row>
    <row r="927" spans="1:216" x14ac:dyDescent="0.3">
      <c r="A927" s="3"/>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row>
    <row r="928" spans="1:216" x14ac:dyDescent="0.3">
      <c r="A928" s="3"/>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row>
    <row r="929" spans="1:216" x14ac:dyDescent="0.3">
      <c r="A929" s="3"/>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row>
    <row r="930" spans="1:216" x14ac:dyDescent="0.3">
      <c r="A930" s="3"/>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row>
    <row r="931" spans="1:216" x14ac:dyDescent="0.3">
      <c r="A931" s="3"/>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row>
    <row r="932" spans="1:216" x14ac:dyDescent="0.3">
      <c r="A932" s="3"/>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row>
    <row r="933" spans="1:216" x14ac:dyDescent="0.3">
      <c r="A933" s="3"/>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row>
    <row r="934" spans="1:216" x14ac:dyDescent="0.3">
      <c r="A934" s="3"/>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row>
    <row r="935" spans="1:216" x14ac:dyDescent="0.3">
      <c r="A935" s="3"/>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row>
    <row r="936" spans="1:216" x14ac:dyDescent="0.3">
      <c r="A936" s="3"/>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row>
    <row r="937" spans="1:216" x14ac:dyDescent="0.3">
      <c r="A937" s="3"/>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row>
    <row r="938" spans="1:216" x14ac:dyDescent="0.3">
      <c r="A938" s="3"/>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row>
    <row r="939" spans="1:216" x14ac:dyDescent="0.3">
      <c r="A939" s="3"/>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row>
    <row r="940" spans="1:216" x14ac:dyDescent="0.3">
      <c r="A940" s="3"/>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row>
    <row r="941" spans="1:216" x14ac:dyDescent="0.3">
      <c r="A941" s="3"/>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row>
    <row r="942" spans="1:216" x14ac:dyDescent="0.3">
      <c r="A942" s="3"/>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row>
    <row r="943" spans="1:216" x14ac:dyDescent="0.3">
      <c r="A943" s="3"/>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row>
    <row r="944" spans="1:216" x14ac:dyDescent="0.3">
      <c r="A944" s="3"/>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row>
    <row r="945" spans="1:216" x14ac:dyDescent="0.3">
      <c r="A945" s="3"/>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row>
    <row r="946" spans="1:216" x14ac:dyDescent="0.3">
      <c r="A946" s="3"/>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row>
    <row r="947" spans="1:216" x14ac:dyDescent="0.3">
      <c r="A947" s="3"/>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row>
    <row r="948" spans="1:216" x14ac:dyDescent="0.3">
      <c r="A948" s="3"/>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row>
    <row r="949" spans="1:216" x14ac:dyDescent="0.3">
      <c r="A949" s="3"/>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row>
    <row r="950" spans="1:216" x14ac:dyDescent="0.3">
      <c r="A950" s="3"/>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row>
    <row r="951" spans="1:216" x14ac:dyDescent="0.3">
      <c r="A951" s="3"/>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row>
    <row r="952" spans="1:216" x14ac:dyDescent="0.3">
      <c r="A952" s="3"/>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row>
    <row r="953" spans="1:216" x14ac:dyDescent="0.3">
      <c r="A953" s="3"/>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row>
    <row r="954" spans="1:216" x14ac:dyDescent="0.3">
      <c r="A954" s="3"/>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row>
    <row r="955" spans="1:216" x14ac:dyDescent="0.3">
      <c r="A955" s="3"/>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row>
    <row r="956" spans="1:216" x14ac:dyDescent="0.3">
      <c r="A956" s="3"/>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row>
    <row r="957" spans="1:216" x14ac:dyDescent="0.3">
      <c r="A957" s="3"/>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row>
    <row r="958" spans="1:216" x14ac:dyDescent="0.3">
      <c r="A958" s="3"/>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row>
    <row r="959" spans="1:216" x14ac:dyDescent="0.3">
      <c r="A959" s="3"/>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row>
    <row r="960" spans="1:216" x14ac:dyDescent="0.3">
      <c r="A960" s="3"/>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row>
    <row r="961" spans="1:216" x14ac:dyDescent="0.3">
      <c r="A961" s="3"/>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row>
    <row r="962" spans="1:216" x14ac:dyDescent="0.3">
      <c r="A962" s="3"/>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row>
    <row r="963" spans="1:216" x14ac:dyDescent="0.3">
      <c r="A963" s="3"/>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row>
    <row r="964" spans="1:216" x14ac:dyDescent="0.3">
      <c r="A964" s="3"/>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row>
    <row r="965" spans="1:216" x14ac:dyDescent="0.3">
      <c r="A965" s="3"/>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row>
    <row r="966" spans="1:216" x14ac:dyDescent="0.3">
      <c r="A966" s="3"/>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row>
    <row r="967" spans="1:216" x14ac:dyDescent="0.3">
      <c r="A967" s="3"/>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row>
    <row r="968" spans="1:216" x14ac:dyDescent="0.3">
      <c r="A968" s="3"/>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row>
    <row r="969" spans="1:216" x14ac:dyDescent="0.3">
      <c r="A969" s="3"/>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row>
    <row r="970" spans="1:216" x14ac:dyDescent="0.3">
      <c r="A970" s="3"/>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row>
    <row r="971" spans="1:216" x14ac:dyDescent="0.3">
      <c r="A971" s="3"/>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row>
    <row r="972" spans="1:216" x14ac:dyDescent="0.3">
      <c r="A972" s="3"/>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row>
    <row r="973" spans="1:216" x14ac:dyDescent="0.3">
      <c r="A973" s="3"/>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row>
    <row r="974" spans="1:216" x14ac:dyDescent="0.3">
      <c r="A974" s="3"/>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row>
    <row r="975" spans="1:216" x14ac:dyDescent="0.3">
      <c r="A975" s="3"/>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row>
    <row r="976" spans="1:216" x14ac:dyDescent="0.3">
      <c r="A976" s="3"/>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row>
    <row r="977" spans="1:216" x14ac:dyDescent="0.3">
      <c r="A977" s="3"/>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row>
    <row r="978" spans="1:216" x14ac:dyDescent="0.3">
      <c r="A978" s="3"/>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row>
    <row r="979" spans="1:216" x14ac:dyDescent="0.3">
      <c r="A979" s="3"/>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row>
    <row r="980" spans="1:216" x14ac:dyDescent="0.3">
      <c r="A980" s="3"/>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row>
    <row r="981" spans="1:216" x14ac:dyDescent="0.3">
      <c r="A981" s="3"/>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row>
    <row r="982" spans="1:216" x14ac:dyDescent="0.3">
      <c r="A982" s="3"/>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row>
    <row r="983" spans="1:216" x14ac:dyDescent="0.3">
      <c r="A983" s="3"/>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row>
    <row r="984" spans="1:216" x14ac:dyDescent="0.3">
      <c r="A984" s="3"/>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row>
    <row r="985" spans="1:216" x14ac:dyDescent="0.3">
      <c r="A985" s="3"/>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row>
    <row r="986" spans="1:216" x14ac:dyDescent="0.3">
      <c r="A986" s="3"/>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row>
    <row r="987" spans="1:216" x14ac:dyDescent="0.3">
      <c r="A987" s="3"/>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row>
    <row r="988" spans="1:216" x14ac:dyDescent="0.3">
      <c r="A988" s="3"/>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row>
    <row r="989" spans="1:216" x14ac:dyDescent="0.3">
      <c r="A989" s="3"/>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row>
    <row r="990" spans="1:216" x14ac:dyDescent="0.3">
      <c r="A990" s="3"/>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row>
    <row r="991" spans="1:216" x14ac:dyDescent="0.3">
      <c r="A991" s="3"/>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row>
    <row r="992" spans="1:216" x14ac:dyDescent="0.3">
      <c r="A992" s="3"/>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row>
    <row r="993" spans="1:216" x14ac:dyDescent="0.3">
      <c r="A993" s="3"/>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row>
    <row r="994" spans="1:216" x14ac:dyDescent="0.3">
      <c r="A994" s="3"/>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row>
    <row r="995" spans="1:216" x14ac:dyDescent="0.3">
      <c r="A995" s="3"/>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row>
    <row r="996" spans="1:216" x14ac:dyDescent="0.3">
      <c r="A996" s="3"/>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row>
    <row r="997" spans="1:216" x14ac:dyDescent="0.3">
      <c r="A997" s="3"/>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row>
    <row r="998" spans="1:216" x14ac:dyDescent="0.3">
      <c r="A998" s="3"/>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row>
    <row r="999" spans="1:216" x14ac:dyDescent="0.3">
      <c r="A999" s="3"/>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row>
    <row r="1000" spans="1:216" x14ac:dyDescent="0.3">
      <c r="A1000" s="3"/>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row>
    <row r="1001" spans="1:216" x14ac:dyDescent="0.3">
      <c r="A1001" s="3"/>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row>
    <row r="1002" spans="1:216" x14ac:dyDescent="0.3">
      <c r="A1002" s="3"/>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row>
    <row r="1003" spans="1:216" x14ac:dyDescent="0.3">
      <c r="A1003" s="3"/>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row>
    <row r="1004" spans="1:216" x14ac:dyDescent="0.3">
      <c r="A1004" s="3"/>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row>
    <row r="1005" spans="1:216" x14ac:dyDescent="0.3">
      <c r="A1005" s="3"/>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row>
    <row r="1006" spans="1:216" x14ac:dyDescent="0.3">
      <c r="A1006" s="3"/>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row>
    <row r="1007" spans="1:216" x14ac:dyDescent="0.3">
      <c r="A1007" s="3"/>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row>
    <row r="1008" spans="1:216" x14ac:dyDescent="0.3">
      <c r="A1008" s="3"/>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row>
    <row r="1009" spans="1:216" x14ac:dyDescent="0.3">
      <c r="A1009" s="3"/>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row>
    <row r="1010" spans="1:216" x14ac:dyDescent="0.3">
      <c r="A1010" s="3"/>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row>
    <row r="1011" spans="1:216" x14ac:dyDescent="0.3">
      <c r="A1011" s="3"/>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row>
    <row r="1012" spans="1:216" x14ac:dyDescent="0.3">
      <c r="A1012" s="3"/>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row>
    <row r="1013" spans="1:216" x14ac:dyDescent="0.3">
      <c r="A1013" s="3"/>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row>
    <row r="1014" spans="1:216" x14ac:dyDescent="0.3">
      <c r="A1014" s="3"/>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row>
    <row r="1015" spans="1:216" x14ac:dyDescent="0.3">
      <c r="A1015" s="3"/>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row>
    <row r="1016" spans="1:216" x14ac:dyDescent="0.3">
      <c r="A1016" s="3"/>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row>
    <row r="1017" spans="1:216" x14ac:dyDescent="0.3">
      <c r="A1017" s="3"/>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row>
    <row r="1018" spans="1:216" x14ac:dyDescent="0.3">
      <c r="A1018" s="3"/>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row>
    <row r="1019" spans="1:216" x14ac:dyDescent="0.3">
      <c r="A1019" s="3"/>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row>
    <row r="1020" spans="1:216" x14ac:dyDescent="0.3">
      <c r="A1020" s="3"/>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row>
    <row r="1021" spans="1:216" x14ac:dyDescent="0.3">
      <c r="A1021" s="3"/>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row>
    <row r="1022" spans="1:216" x14ac:dyDescent="0.3">
      <c r="A1022" s="3"/>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row>
    <row r="1023" spans="1:216" x14ac:dyDescent="0.3">
      <c r="A1023" s="3"/>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row>
    <row r="1024" spans="1:216" x14ac:dyDescent="0.3">
      <c r="A1024" s="3"/>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row>
    <row r="1025" spans="1:216" x14ac:dyDescent="0.3">
      <c r="A1025" s="3"/>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row>
    <row r="1026" spans="1:216" x14ac:dyDescent="0.3">
      <c r="A1026" s="3"/>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row>
    <row r="1027" spans="1:216" x14ac:dyDescent="0.3">
      <c r="A1027" s="3"/>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row>
    <row r="1028" spans="1:216" x14ac:dyDescent="0.3">
      <c r="A1028" s="3"/>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row>
    <row r="1029" spans="1:216" x14ac:dyDescent="0.3">
      <c r="A1029" s="3"/>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row>
    <row r="1030" spans="1:216" x14ac:dyDescent="0.3">
      <c r="A1030" s="3"/>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row>
    <row r="1031" spans="1:216" x14ac:dyDescent="0.3">
      <c r="A1031" s="3"/>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row>
    <row r="1032" spans="1:216" x14ac:dyDescent="0.3">
      <c r="A1032" s="3"/>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row>
    <row r="1033" spans="1:216" x14ac:dyDescent="0.3">
      <c r="A1033" s="3"/>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row>
    <row r="1034" spans="1:216" x14ac:dyDescent="0.3">
      <c r="A1034" s="3"/>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row>
    <row r="1035" spans="1:216" x14ac:dyDescent="0.3">
      <c r="A1035" s="3"/>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row>
    <row r="1036" spans="1:216" x14ac:dyDescent="0.3">
      <c r="A1036" s="3"/>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row>
    <row r="1037" spans="1:216" x14ac:dyDescent="0.3">
      <c r="A1037" s="3"/>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row>
    <row r="1038" spans="1:216" x14ac:dyDescent="0.3">
      <c r="A1038" s="3"/>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row>
    <row r="1039" spans="1:216" x14ac:dyDescent="0.3">
      <c r="A1039" s="3"/>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row>
    <row r="1040" spans="1:216" x14ac:dyDescent="0.3">
      <c r="A1040" s="3"/>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row>
    <row r="1041" spans="1:216" x14ac:dyDescent="0.3">
      <c r="A1041" s="3"/>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row>
    <row r="1042" spans="1:216" x14ac:dyDescent="0.3">
      <c r="A1042" s="3"/>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row>
    <row r="1043" spans="1:216" x14ac:dyDescent="0.3">
      <c r="A1043" s="3"/>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row>
    <row r="1044" spans="1:216" x14ac:dyDescent="0.3">
      <c r="A1044" s="3"/>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row>
    <row r="1045" spans="1:216" x14ac:dyDescent="0.3">
      <c r="A1045" s="3"/>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row>
    <row r="1046" spans="1:216" x14ac:dyDescent="0.3">
      <c r="A1046" s="3"/>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row>
    <row r="1047" spans="1:216" x14ac:dyDescent="0.3">
      <c r="A1047" s="3"/>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row>
    <row r="1048" spans="1:216" x14ac:dyDescent="0.3">
      <c r="A1048" s="3"/>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row>
    <row r="1049" spans="1:216" x14ac:dyDescent="0.3">
      <c r="A1049" s="3"/>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row>
    <row r="1050" spans="1:216" x14ac:dyDescent="0.3">
      <c r="A1050" s="3"/>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row>
    <row r="1051" spans="1:216" x14ac:dyDescent="0.3">
      <c r="A1051" s="3"/>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row>
    <row r="1052" spans="1:216" x14ac:dyDescent="0.3">
      <c r="A1052" s="3"/>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row>
    <row r="1053" spans="1:216" x14ac:dyDescent="0.3">
      <c r="A1053" s="3"/>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row>
    <row r="1054" spans="1:216" x14ac:dyDescent="0.3">
      <c r="A1054" s="3"/>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row>
    <row r="1055" spans="1:216" x14ac:dyDescent="0.3">
      <c r="A1055" s="3"/>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row>
    <row r="1056" spans="1:216" x14ac:dyDescent="0.3">
      <c r="A1056" s="3"/>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row>
    <row r="1057" spans="1:216" x14ac:dyDescent="0.3">
      <c r="A1057" s="3"/>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row>
    <row r="1058" spans="1:216" x14ac:dyDescent="0.3">
      <c r="A1058" s="3"/>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row>
    <row r="1059" spans="1:216" x14ac:dyDescent="0.3">
      <c r="A1059" s="3"/>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row>
    <row r="1060" spans="1:216" x14ac:dyDescent="0.3">
      <c r="A1060" s="3"/>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row>
    <row r="1061" spans="1:216" x14ac:dyDescent="0.3">
      <c r="A1061" s="3"/>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row>
    <row r="1062" spans="1:216" x14ac:dyDescent="0.3">
      <c r="A1062" s="3"/>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row>
    <row r="1063" spans="1:216" x14ac:dyDescent="0.3">
      <c r="A1063" s="3"/>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row>
    <row r="1064" spans="1:216" x14ac:dyDescent="0.3">
      <c r="A1064" s="3"/>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row>
    <row r="1065" spans="1:216" x14ac:dyDescent="0.3">
      <c r="A1065" s="3"/>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row>
    <row r="1066" spans="1:216" x14ac:dyDescent="0.3">
      <c r="A1066" s="3"/>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row>
    <row r="1067" spans="1:216" x14ac:dyDescent="0.3">
      <c r="A1067" s="3"/>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row>
    <row r="1068" spans="1:216" x14ac:dyDescent="0.3">
      <c r="A1068" s="3"/>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row>
    <row r="1069" spans="1:216" x14ac:dyDescent="0.3">
      <c r="A1069" s="3"/>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row>
    <row r="1070" spans="1:216" x14ac:dyDescent="0.3">
      <c r="A1070" s="3"/>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row>
    <row r="1071" spans="1:216" x14ac:dyDescent="0.3">
      <c r="A1071" s="3"/>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row>
    <row r="1072" spans="1:216" x14ac:dyDescent="0.3">
      <c r="A1072" s="3"/>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row>
    <row r="1073" spans="1:216" x14ac:dyDescent="0.3">
      <c r="A1073" s="3"/>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row>
    <row r="1074" spans="1:216" x14ac:dyDescent="0.3">
      <c r="A1074" s="3"/>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row>
    <row r="1075" spans="1:216" x14ac:dyDescent="0.3">
      <c r="A1075" s="3"/>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row>
    <row r="1076" spans="1:216" x14ac:dyDescent="0.3">
      <c r="A1076" s="3"/>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row>
    <row r="1077" spans="1:216" x14ac:dyDescent="0.3">
      <c r="A1077" s="3"/>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row>
    <row r="1078" spans="1:216" x14ac:dyDescent="0.3">
      <c r="A1078" s="3"/>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row>
    <row r="1079" spans="1:216" x14ac:dyDescent="0.3">
      <c r="A1079" s="3"/>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row>
    <row r="1080" spans="1:216" x14ac:dyDescent="0.3">
      <c r="A1080" s="3"/>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row>
    <row r="1081" spans="1:216" x14ac:dyDescent="0.3">
      <c r="A1081" s="3"/>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row>
    <row r="1082" spans="1:216" x14ac:dyDescent="0.3">
      <c r="A1082" s="3"/>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row>
    <row r="1083" spans="1:216" x14ac:dyDescent="0.3">
      <c r="A1083" s="3"/>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row>
    <row r="1084" spans="1:216" x14ac:dyDescent="0.3">
      <c r="A1084" s="3"/>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row>
    <row r="1085" spans="1:216" x14ac:dyDescent="0.3">
      <c r="A1085" s="3"/>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row>
    <row r="1086" spans="1:216" x14ac:dyDescent="0.3">
      <c r="A1086" s="3"/>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row>
    <row r="1087" spans="1:216" x14ac:dyDescent="0.3">
      <c r="A1087" s="3"/>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row>
    <row r="1088" spans="1:216" x14ac:dyDescent="0.3">
      <c r="A1088" s="3"/>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row>
    <row r="1089" spans="1:216" x14ac:dyDescent="0.3">
      <c r="A1089" s="3"/>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row>
    <row r="1090" spans="1:216" x14ac:dyDescent="0.3">
      <c r="A1090" s="3"/>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row>
    <row r="1091" spans="1:216" x14ac:dyDescent="0.3">
      <c r="A1091" s="3"/>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c r="FT1091" s="1"/>
      <c r="FU1091" s="1"/>
      <c r="FV1091" s="1"/>
      <c r="FW1091" s="1"/>
      <c r="FX1091" s="1"/>
      <c r="FY1091" s="1"/>
      <c r="FZ1091" s="1"/>
      <c r="GA1091" s="1"/>
      <c r="GB1091" s="1"/>
      <c r="GC1091" s="1"/>
      <c r="GD1091" s="1"/>
      <c r="GE1091" s="1"/>
      <c r="GF1091" s="1"/>
      <c r="GG1091" s="1"/>
      <c r="GH1091" s="1"/>
      <c r="GI1091" s="1"/>
      <c r="GJ1091" s="1"/>
      <c r="GK1091" s="1"/>
      <c r="GL1091" s="1"/>
      <c r="GM1091" s="1"/>
      <c r="GN1091" s="1"/>
      <c r="GO1091" s="1"/>
      <c r="GP1091" s="1"/>
      <c r="GQ1091" s="1"/>
      <c r="GR1091" s="1"/>
      <c r="GS1091" s="1"/>
      <c r="GT1091" s="1"/>
      <c r="GU1091" s="1"/>
      <c r="GV1091" s="1"/>
      <c r="GW1091" s="1"/>
      <c r="GX1091" s="1"/>
      <c r="GY1091" s="1"/>
      <c r="GZ1091" s="1"/>
      <c r="HA1091" s="1"/>
      <c r="HB1091" s="1"/>
      <c r="HC1091" s="1"/>
      <c r="HD1091" s="1"/>
      <c r="HE1091" s="1"/>
      <c r="HF1091" s="1"/>
      <c r="HG1091" s="1"/>
      <c r="HH1091" s="1"/>
    </row>
    <row r="1092" spans="1:216" x14ac:dyDescent="0.3">
      <c r="A1092" s="3"/>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c r="FT1092" s="1"/>
      <c r="FU1092" s="1"/>
      <c r="FV1092" s="1"/>
      <c r="FW1092" s="1"/>
      <c r="FX1092" s="1"/>
      <c r="FY1092" s="1"/>
      <c r="FZ1092" s="1"/>
      <c r="GA1092" s="1"/>
      <c r="GB1092" s="1"/>
      <c r="GC1092" s="1"/>
      <c r="GD1092" s="1"/>
      <c r="GE1092" s="1"/>
      <c r="GF1092" s="1"/>
      <c r="GG1092" s="1"/>
      <c r="GH1092" s="1"/>
      <c r="GI1092" s="1"/>
      <c r="GJ1092" s="1"/>
      <c r="GK1092" s="1"/>
      <c r="GL1092" s="1"/>
      <c r="GM1092" s="1"/>
      <c r="GN1092" s="1"/>
      <c r="GO1092" s="1"/>
      <c r="GP1092" s="1"/>
      <c r="GQ1092" s="1"/>
      <c r="GR1092" s="1"/>
      <c r="GS1092" s="1"/>
      <c r="GT1092" s="1"/>
      <c r="GU1092" s="1"/>
      <c r="GV1092" s="1"/>
      <c r="GW1092" s="1"/>
      <c r="GX1092" s="1"/>
      <c r="GY1092" s="1"/>
      <c r="GZ1092" s="1"/>
      <c r="HA1092" s="1"/>
      <c r="HB1092" s="1"/>
      <c r="HC1092" s="1"/>
      <c r="HD1092" s="1"/>
      <c r="HE1092" s="1"/>
      <c r="HF1092" s="1"/>
      <c r="HG1092" s="1"/>
      <c r="HH1092" s="1"/>
    </row>
    <row r="1093" spans="1:216" x14ac:dyDescent="0.3">
      <c r="A1093" s="3"/>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c r="FT1093" s="1"/>
      <c r="FU1093" s="1"/>
      <c r="FV1093" s="1"/>
      <c r="FW1093" s="1"/>
      <c r="FX1093" s="1"/>
      <c r="FY1093" s="1"/>
      <c r="FZ1093" s="1"/>
      <c r="GA1093" s="1"/>
      <c r="GB1093" s="1"/>
      <c r="GC1093" s="1"/>
      <c r="GD1093" s="1"/>
      <c r="GE1093" s="1"/>
      <c r="GF1093" s="1"/>
      <c r="GG1093" s="1"/>
      <c r="GH1093" s="1"/>
      <c r="GI1093" s="1"/>
      <c r="GJ1093" s="1"/>
      <c r="GK1093" s="1"/>
      <c r="GL1093" s="1"/>
      <c r="GM1093" s="1"/>
      <c r="GN1093" s="1"/>
      <c r="GO1093" s="1"/>
      <c r="GP1093" s="1"/>
      <c r="GQ1093" s="1"/>
      <c r="GR1093" s="1"/>
      <c r="GS1093" s="1"/>
      <c r="GT1093" s="1"/>
      <c r="GU1093" s="1"/>
      <c r="GV1093" s="1"/>
      <c r="GW1093" s="1"/>
      <c r="GX1093" s="1"/>
      <c r="GY1093" s="1"/>
      <c r="GZ1093" s="1"/>
      <c r="HA1093" s="1"/>
      <c r="HB1093" s="1"/>
      <c r="HC1093" s="1"/>
      <c r="HD1093" s="1"/>
      <c r="HE1093" s="1"/>
      <c r="HF1093" s="1"/>
      <c r="HG1093" s="1"/>
      <c r="HH1093" s="1"/>
    </row>
    <row r="1094" spans="1:216" x14ac:dyDescent="0.3">
      <c r="A1094" s="3"/>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c r="FT1094" s="1"/>
      <c r="FU1094" s="1"/>
      <c r="FV1094" s="1"/>
      <c r="FW1094" s="1"/>
      <c r="FX1094" s="1"/>
      <c r="FY1094" s="1"/>
      <c r="FZ1094" s="1"/>
      <c r="GA1094" s="1"/>
      <c r="GB1094" s="1"/>
      <c r="GC1094" s="1"/>
      <c r="GD1094" s="1"/>
      <c r="GE1094" s="1"/>
      <c r="GF1094" s="1"/>
      <c r="GG1094" s="1"/>
      <c r="GH1094" s="1"/>
      <c r="GI1094" s="1"/>
      <c r="GJ1094" s="1"/>
      <c r="GK1094" s="1"/>
      <c r="GL1094" s="1"/>
      <c r="GM1094" s="1"/>
      <c r="GN1094" s="1"/>
      <c r="GO1094" s="1"/>
      <c r="GP1094" s="1"/>
      <c r="GQ1094" s="1"/>
      <c r="GR1094" s="1"/>
      <c r="GS1094" s="1"/>
      <c r="GT1094" s="1"/>
      <c r="GU1094" s="1"/>
      <c r="GV1094" s="1"/>
      <c r="GW1094" s="1"/>
      <c r="GX1094" s="1"/>
      <c r="GY1094" s="1"/>
      <c r="GZ1094" s="1"/>
      <c r="HA1094" s="1"/>
      <c r="HB1094" s="1"/>
      <c r="HC1094" s="1"/>
      <c r="HD1094" s="1"/>
      <c r="HE1094" s="1"/>
      <c r="HF1094" s="1"/>
      <c r="HG1094" s="1"/>
      <c r="HH1094" s="1"/>
    </row>
    <row r="1095" spans="1:216" x14ac:dyDescent="0.3">
      <c r="A1095" s="3"/>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c r="FT1095" s="1"/>
      <c r="FU1095" s="1"/>
      <c r="FV1095" s="1"/>
      <c r="FW1095" s="1"/>
      <c r="FX1095" s="1"/>
      <c r="FY1095" s="1"/>
      <c r="FZ1095" s="1"/>
      <c r="GA1095" s="1"/>
      <c r="GB1095" s="1"/>
      <c r="GC1095" s="1"/>
      <c r="GD1095" s="1"/>
      <c r="GE1095" s="1"/>
      <c r="GF1095" s="1"/>
      <c r="GG1095" s="1"/>
      <c r="GH1095" s="1"/>
      <c r="GI1095" s="1"/>
      <c r="GJ1095" s="1"/>
      <c r="GK1095" s="1"/>
      <c r="GL1095" s="1"/>
      <c r="GM1095" s="1"/>
      <c r="GN1095" s="1"/>
      <c r="GO1095" s="1"/>
      <c r="GP1095" s="1"/>
      <c r="GQ1095" s="1"/>
      <c r="GR1095" s="1"/>
      <c r="GS1095" s="1"/>
      <c r="GT1095" s="1"/>
      <c r="GU1095" s="1"/>
      <c r="GV1095" s="1"/>
      <c r="GW1095" s="1"/>
      <c r="GX1095" s="1"/>
      <c r="GY1095" s="1"/>
      <c r="GZ1095" s="1"/>
      <c r="HA1095" s="1"/>
      <c r="HB1095" s="1"/>
      <c r="HC1095" s="1"/>
      <c r="HD1095" s="1"/>
      <c r="HE1095" s="1"/>
      <c r="HF1095" s="1"/>
      <c r="HG1095" s="1"/>
      <c r="HH1095" s="1"/>
    </row>
    <row r="1096" spans="1:216" x14ac:dyDescent="0.3">
      <c r="A1096" s="3"/>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c r="FT1096" s="1"/>
      <c r="FU1096" s="1"/>
      <c r="FV1096" s="1"/>
      <c r="FW1096" s="1"/>
      <c r="FX1096" s="1"/>
      <c r="FY1096" s="1"/>
      <c r="FZ1096" s="1"/>
      <c r="GA1096" s="1"/>
      <c r="GB1096" s="1"/>
      <c r="GC1096" s="1"/>
      <c r="GD1096" s="1"/>
      <c r="GE1096" s="1"/>
      <c r="GF1096" s="1"/>
      <c r="GG1096" s="1"/>
      <c r="GH1096" s="1"/>
      <c r="GI1096" s="1"/>
      <c r="GJ1096" s="1"/>
      <c r="GK1096" s="1"/>
      <c r="GL1096" s="1"/>
      <c r="GM1096" s="1"/>
      <c r="GN1096" s="1"/>
      <c r="GO1096" s="1"/>
      <c r="GP1096" s="1"/>
      <c r="GQ1096" s="1"/>
      <c r="GR1096" s="1"/>
      <c r="GS1096" s="1"/>
      <c r="GT1096" s="1"/>
      <c r="GU1096" s="1"/>
      <c r="GV1096" s="1"/>
      <c r="GW1096" s="1"/>
      <c r="GX1096" s="1"/>
      <c r="GY1096" s="1"/>
      <c r="GZ1096" s="1"/>
      <c r="HA1096" s="1"/>
      <c r="HB1096" s="1"/>
      <c r="HC1096" s="1"/>
      <c r="HD1096" s="1"/>
      <c r="HE1096" s="1"/>
      <c r="HF1096" s="1"/>
      <c r="HG1096" s="1"/>
      <c r="HH1096" s="1"/>
    </row>
    <row r="1097" spans="1:216" x14ac:dyDescent="0.3">
      <c r="A1097" s="3"/>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c r="FT1097" s="1"/>
      <c r="FU1097" s="1"/>
      <c r="FV1097" s="1"/>
      <c r="FW1097" s="1"/>
      <c r="FX1097" s="1"/>
      <c r="FY1097" s="1"/>
      <c r="FZ1097" s="1"/>
      <c r="GA1097" s="1"/>
      <c r="GB1097" s="1"/>
      <c r="GC1097" s="1"/>
      <c r="GD1097" s="1"/>
      <c r="GE1097" s="1"/>
      <c r="GF1097" s="1"/>
      <c r="GG1097" s="1"/>
      <c r="GH1097" s="1"/>
      <c r="GI1097" s="1"/>
      <c r="GJ1097" s="1"/>
      <c r="GK1097" s="1"/>
      <c r="GL1097" s="1"/>
      <c r="GM1097" s="1"/>
      <c r="GN1097" s="1"/>
      <c r="GO1097" s="1"/>
      <c r="GP1097" s="1"/>
      <c r="GQ1097" s="1"/>
      <c r="GR1097" s="1"/>
      <c r="GS1097" s="1"/>
      <c r="GT1097" s="1"/>
      <c r="GU1097" s="1"/>
      <c r="GV1097" s="1"/>
      <c r="GW1097" s="1"/>
      <c r="GX1097" s="1"/>
      <c r="GY1097" s="1"/>
      <c r="GZ1097" s="1"/>
      <c r="HA1097" s="1"/>
      <c r="HB1097" s="1"/>
      <c r="HC1097" s="1"/>
      <c r="HD1097" s="1"/>
      <c r="HE1097" s="1"/>
      <c r="HF1097" s="1"/>
      <c r="HG1097" s="1"/>
      <c r="HH1097" s="1"/>
    </row>
    <row r="1098" spans="1:216" x14ac:dyDescent="0.3">
      <c r="A1098" s="3"/>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c r="FT1098" s="1"/>
      <c r="FU1098" s="1"/>
      <c r="FV1098" s="1"/>
      <c r="FW1098" s="1"/>
      <c r="FX1098" s="1"/>
      <c r="FY1098" s="1"/>
      <c r="FZ1098" s="1"/>
      <c r="GA1098" s="1"/>
      <c r="GB1098" s="1"/>
      <c r="GC1098" s="1"/>
      <c r="GD1098" s="1"/>
      <c r="GE1098" s="1"/>
      <c r="GF1098" s="1"/>
      <c r="GG1098" s="1"/>
      <c r="GH1098" s="1"/>
      <c r="GI1098" s="1"/>
      <c r="GJ1098" s="1"/>
      <c r="GK1098" s="1"/>
      <c r="GL1098" s="1"/>
      <c r="GM1098" s="1"/>
      <c r="GN1098" s="1"/>
      <c r="GO1098" s="1"/>
      <c r="GP1098" s="1"/>
      <c r="GQ1098" s="1"/>
      <c r="GR1098" s="1"/>
      <c r="GS1098" s="1"/>
      <c r="GT1098" s="1"/>
      <c r="GU1098" s="1"/>
      <c r="GV1098" s="1"/>
      <c r="GW1098" s="1"/>
      <c r="GX1098" s="1"/>
      <c r="GY1098" s="1"/>
      <c r="GZ1098" s="1"/>
      <c r="HA1098" s="1"/>
      <c r="HB1098" s="1"/>
      <c r="HC1098" s="1"/>
      <c r="HD1098" s="1"/>
      <c r="HE1098" s="1"/>
      <c r="HF1098" s="1"/>
      <c r="HG1098" s="1"/>
      <c r="HH1098" s="1"/>
    </row>
    <row r="1099" spans="1:216" x14ac:dyDescent="0.3">
      <c r="A1099" s="3"/>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row>
    <row r="1100" spans="1:216" x14ac:dyDescent="0.3">
      <c r="A1100" s="3"/>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row>
    <row r="1101" spans="1:216" x14ac:dyDescent="0.3">
      <c r="A1101" s="3"/>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c r="FT1101" s="1"/>
      <c r="FU1101" s="1"/>
      <c r="FV1101" s="1"/>
      <c r="FW1101" s="1"/>
      <c r="FX1101" s="1"/>
      <c r="FY1101" s="1"/>
      <c r="FZ1101" s="1"/>
      <c r="GA1101" s="1"/>
      <c r="GB1101" s="1"/>
      <c r="GC1101" s="1"/>
      <c r="GD1101" s="1"/>
      <c r="GE1101" s="1"/>
      <c r="GF1101" s="1"/>
      <c r="GG1101" s="1"/>
      <c r="GH1101" s="1"/>
      <c r="GI1101" s="1"/>
      <c r="GJ1101" s="1"/>
      <c r="GK1101" s="1"/>
      <c r="GL1101" s="1"/>
      <c r="GM1101" s="1"/>
      <c r="GN1101" s="1"/>
      <c r="GO1101" s="1"/>
      <c r="GP1101" s="1"/>
      <c r="GQ1101" s="1"/>
      <c r="GR1101" s="1"/>
      <c r="GS1101" s="1"/>
      <c r="GT1101" s="1"/>
      <c r="GU1101" s="1"/>
      <c r="GV1101" s="1"/>
      <c r="GW1101" s="1"/>
      <c r="GX1101" s="1"/>
      <c r="GY1101" s="1"/>
      <c r="GZ1101" s="1"/>
      <c r="HA1101" s="1"/>
      <c r="HB1101" s="1"/>
      <c r="HC1101" s="1"/>
      <c r="HD1101" s="1"/>
      <c r="HE1101" s="1"/>
      <c r="HF1101" s="1"/>
      <c r="HG1101" s="1"/>
      <c r="HH1101" s="1"/>
    </row>
    <row r="1102" spans="1:216" x14ac:dyDescent="0.3">
      <c r="A1102" s="3"/>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c r="FT1102" s="1"/>
      <c r="FU1102" s="1"/>
      <c r="FV1102" s="1"/>
      <c r="FW1102" s="1"/>
      <c r="FX1102" s="1"/>
      <c r="FY1102" s="1"/>
      <c r="FZ1102" s="1"/>
      <c r="GA1102" s="1"/>
      <c r="GB1102" s="1"/>
      <c r="GC1102" s="1"/>
      <c r="GD1102" s="1"/>
      <c r="GE1102" s="1"/>
      <c r="GF1102" s="1"/>
      <c r="GG1102" s="1"/>
      <c r="GH1102" s="1"/>
      <c r="GI1102" s="1"/>
      <c r="GJ1102" s="1"/>
      <c r="GK1102" s="1"/>
      <c r="GL1102" s="1"/>
      <c r="GM1102" s="1"/>
      <c r="GN1102" s="1"/>
      <c r="GO1102" s="1"/>
      <c r="GP1102" s="1"/>
      <c r="GQ1102" s="1"/>
      <c r="GR1102" s="1"/>
      <c r="GS1102" s="1"/>
      <c r="GT1102" s="1"/>
      <c r="GU1102" s="1"/>
      <c r="GV1102" s="1"/>
      <c r="GW1102" s="1"/>
      <c r="GX1102" s="1"/>
      <c r="GY1102" s="1"/>
      <c r="GZ1102" s="1"/>
      <c r="HA1102" s="1"/>
      <c r="HB1102" s="1"/>
      <c r="HC1102" s="1"/>
      <c r="HD1102" s="1"/>
      <c r="HE1102" s="1"/>
      <c r="HF1102" s="1"/>
      <c r="HG1102" s="1"/>
      <c r="HH1102" s="1"/>
    </row>
    <row r="1103" spans="1:216" x14ac:dyDescent="0.3">
      <c r="A1103" s="3"/>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c r="FT1103" s="1"/>
      <c r="FU1103" s="1"/>
      <c r="FV1103" s="1"/>
      <c r="FW1103" s="1"/>
      <c r="FX1103" s="1"/>
      <c r="FY1103" s="1"/>
      <c r="FZ1103" s="1"/>
      <c r="GA1103" s="1"/>
      <c r="GB1103" s="1"/>
      <c r="GC1103" s="1"/>
      <c r="GD1103" s="1"/>
      <c r="GE1103" s="1"/>
      <c r="GF1103" s="1"/>
      <c r="GG1103" s="1"/>
      <c r="GH1103" s="1"/>
      <c r="GI1103" s="1"/>
      <c r="GJ1103" s="1"/>
      <c r="GK1103" s="1"/>
      <c r="GL1103" s="1"/>
      <c r="GM1103" s="1"/>
      <c r="GN1103" s="1"/>
      <c r="GO1103" s="1"/>
      <c r="GP1103" s="1"/>
      <c r="GQ1103" s="1"/>
      <c r="GR1103" s="1"/>
      <c r="GS1103" s="1"/>
      <c r="GT1103" s="1"/>
      <c r="GU1103" s="1"/>
      <c r="GV1103" s="1"/>
      <c r="GW1103" s="1"/>
      <c r="GX1103" s="1"/>
      <c r="GY1103" s="1"/>
      <c r="GZ1103" s="1"/>
      <c r="HA1103" s="1"/>
      <c r="HB1103" s="1"/>
      <c r="HC1103" s="1"/>
      <c r="HD1103" s="1"/>
      <c r="HE1103" s="1"/>
      <c r="HF1103" s="1"/>
      <c r="HG1103" s="1"/>
      <c r="HH1103" s="1"/>
    </row>
    <row r="1104" spans="1:216" x14ac:dyDescent="0.3">
      <c r="A1104" s="3"/>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c r="FT1104" s="1"/>
      <c r="FU1104" s="1"/>
      <c r="FV1104" s="1"/>
      <c r="FW1104" s="1"/>
      <c r="FX1104" s="1"/>
      <c r="FY1104" s="1"/>
      <c r="FZ1104" s="1"/>
      <c r="GA1104" s="1"/>
      <c r="GB1104" s="1"/>
      <c r="GC1104" s="1"/>
      <c r="GD1104" s="1"/>
      <c r="GE1104" s="1"/>
      <c r="GF1104" s="1"/>
      <c r="GG1104" s="1"/>
      <c r="GH1104" s="1"/>
      <c r="GI1104" s="1"/>
      <c r="GJ1104" s="1"/>
      <c r="GK1104" s="1"/>
      <c r="GL1104" s="1"/>
      <c r="GM1104" s="1"/>
      <c r="GN1104" s="1"/>
      <c r="GO1104" s="1"/>
      <c r="GP1104" s="1"/>
      <c r="GQ1104" s="1"/>
      <c r="GR1104" s="1"/>
      <c r="GS1104" s="1"/>
      <c r="GT1104" s="1"/>
      <c r="GU1104" s="1"/>
      <c r="GV1104" s="1"/>
      <c r="GW1104" s="1"/>
      <c r="GX1104" s="1"/>
      <c r="GY1104" s="1"/>
      <c r="GZ1104" s="1"/>
      <c r="HA1104" s="1"/>
      <c r="HB1104" s="1"/>
      <c r="HC1104" s="1"/>
      <c r="HD1104" s="1"/>
      <c r="HE1104" s="1"/>
      <c r="HF1104" s="1"/>
      <c r="HG1104" s="1"/>
      <c r="HH1104" s="1"/>
    </row>
    <row r="1105" spans="1:216" x14ac:dyDescent="0.3">
      <c r="A1105" s="3"/>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c r="FT1105" s="1"/>
      <c r="FU1105" s="1"/>
      <c r="FV1105" s="1"/>
      <c r="FW1105" s="1"/>
      <c r="FX1105" s="1"/>
      <c r="FY1105" s="1"/>
      <c r="FZ1105" s="1"/>
      <c r="GA1105" s="1"/>
      <c r="GB1105" s="1"/>
      <c r="GC1105" s="1"/>
      <c r="GD1105" s="1"/>
      <c r="GE1105" s="1"/>
      <c r="GF1105" s="1"/>
      <c r="GG1105" s="1"/>
      <c r="GH1105" s="1"/>
      <c r="GI1105" s="1"/>
      <c r="GJ1105" s="1"/>
      <c r="GK1105" s="1"/>
      <c r="GL1105" s="1"/>
      <c r="GM1105" s="1"/>
      <c r="GN1105" s="1"/>
      <c r="GO1105" s="1"/>
      <c r="GP1105" s="1"/>
      <c r="GQ1105" s="1"/>
      <c r="GR1105" s="1"/>
      <c r="GS1105" s="1"/>
      <c r="GT1105" s="1"/>
      <c r="GU1105" s="1"/>
      <c r="GV1105" s="1"/>
      <c r="GW1105" s="1"/>
      <c r="GX1105" s="1"/>
      <c r="GY1105" s="1"/>
      <c r="GZ1105" s="1"/>
      <c r="HA1105" s="1"/>
      <c r="HB1105" s="1"/>
      <c r="HC1105" s="1"/>
      <c r="HD1105" s="1"/>
      <c r="HE1105" s="1"/>
      <c r="HF1105" s="1"/>
      <c r="HG1105" s="1"/>
      <c r="HH1105" s="1"/>
    </row>
    <row r="1106" spans="1:216" x14ac:dyDescent="0.3">
      <c r="A1106" s="3"/>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c r="FT1106" s="1"/>
      <c r="FU1106" s="1"/>
      <c r="FV1106" s="1"/>
      <c r="FW1106" s="1"/>
      <c r="FX1106" s="1"/>
      <c r="FY1106" s="1"/>
      <c r="FZ1106" s="1"/>
      <c r="GA1106" s="1"/>
      <c r="GB1106" s="1"/>
      <c r="GC1106" s="1"/>
      <c r="GD1106" s="1"/>
      <c r="GE1106" s="1"/>
      <c r="GF1106" s="1"/>
      <c r="GG1106" s="1"/>
      <c r="GH1106" s="1"/>
      <c r="GI1106" s="1"/>
      <c r="GJ1106" s="1"/>
      <c r="GK1106" s="1"/>
      <c r="GL1106" s="1"/>
      <c r="GM1106" s="1"/>
      <c r="GN1106" s="1"/>
      <c r="GO1106" s="1"/>
      <c r="GP1106" s="1"/>
      <c r="GQ1106" s="1"/>
      <c r="GR1106" s="1"/>
      <c r="GS1106" s="1"/>
      <c r="GT1106" s="1"/>
      <c r="GU1106" s="1"/>
      <c r="GV1106" s="1"/>
      <c r="GW1106" s="1"/>
      <c r="GX1106" s="1"/>
      <c r="GY1106" s="1"/>
      <c r="GZ1106" s="1"/>
      <c r="HA1106" s="1"/>
      <c r="HB1106" s="1"/>
      <c r="HC1106" s="1"/>
      <c r="HD1106" s="1"/>
      <c r="HE1106" s="1"/>
      <c r="HF1106" s="1"/>
      <c r="HG1106" s="1"/>
      <c r="HH1106" s="1"/>
    </row>
    <row r="1107" spans="1:216" x14ac:dyDescent="0.3">
      <c r="A1107" s="3"/>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c r="FT1107" s="1"/>
      <c r="FU1107" s="1"/>
      <c r="FV1107" s="1"/>
      <c r="FW1107" s="1"/>
      <c r="FX1107" s="1"/>
      <c r="FY1107" s="1"/>
      <c r="FZ1107" s="1"/>
      <c r="GA1107" s="1"/>
      <c r="GB1107" s="1"/>
      <c r="GC1107" s="1"/>
      <c r="GD1107" s="1"/>
      <c r="GE1107" s="1"/>
      <c r="GF1107" s="1"/>
      <c r="GG1107" s="1"/>
      <c r="GH1107" s="1"/>
      <c r="GI1107" s="1"/>
      <c r="GJ1107" s="1"/>
      <c r="GK1107" s="1"/>
      <c r="GL1107" s="1"/>
      <c r="GM1107" s="1"/>
      <c r="GN1107" s="1"/>
      <c r="GO1107" s="1"/>
      <c r="GP1107" s="1"/>
      <c r="GQ1107" s="1"/>
      <c r="GR1107" s="1"/>
      <c r="GS1107" s="1"/>
      <c r="GT1107" s="1"/>
      <c r="GU1107" s="1"/>
      <c r="GV1107" s="1"/>
      <c r="GW1107" s="1"/>
      <c r="GX1107" s="1"/>
      <c r="GY1107" s="1"/>
      <c r="GZ1107" s="1"/>
      <c r="HA1107" s="1"/>
      <c r="HB1107" s="1"/>
      <c r="HC1107" s="1"/>
      <c r="HD1107" s="1"/>
      <c r="HE1107" s="1"/>
      <c r="HF1107" s="1"/>
      <c r="HG1107" s="1"/>
      <c r="HH1107" s="1"/>
    </row>
    <row r="1108" spans="1:216" x14ac:dyDescent="0.3">
      <c r="A1108" s="3"/>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c r="FT1108" s="1"/>
      <c r="FU1108" s="1"/>
      <c r="FV1108" s="1"/>
      <c r="FW1108" s="1"/>
      <c r="FX1108" s="1"/>
      <c r="FY1108" s="1"/>
      <c r="FZ1108" s="1"/>
      <c r="GA1108" s="1"/>
      <c r="GB1108" s="1"/>
      <c r="GC1108" s="1"/>
      <c r="GD1108" s="1"/>
      <c r="GE1108" s="1"/>
      <c r="GF1108" s="1"/>
      <c r="GG1108" s="1"/>
      <c r="GH1108" s="1"/>
      <c r="GI1108" s="1"/>
      <c r="GJ1108" s="1"/>
      <c r="GK1108" s="1"/>
      <c r="GL1108" s="1"/>
      <c r="GM1108" s="1"/>
      <c r="GN1108" s="1"/>
      <c r="GO1108" s="1"/>
      <c r="GP1108" s="1"/>
      <c r="GQ1108" s="1"/>
      <c r="GR1108" s="1"/>
      <c r="GS1108" s="1"/>
      <c r="GT1108" s="1"/>
      <c r="GU1108" s="1"/>
      <c r="GV1108" s="1"/>
      <c r="GW1108" s="1"/>
      <c r="GX1108" s="1"/>
      <c r="GY1108" s="1"/>
      <c r="GZ1108" s="1"/>
      <c r="HA1108" s="1"/>
      <c r="HB1108" s="1"/>
      <c r="HC1108" s="1"/>
      <c r="HD1108" s="1"/>
      <c r="HE1108" s="1"/>
      <c r="HF1108" s="1"/>
      <c r="HG1108" s="1"/>
      <c r="HH1108" s="1"/>
    </row>
    <row r="1109" spans="1:216" x14ac:dyDescent="0.3">
      <c r="A1109" s="3"/>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c r="FT1109" s="1"/>
      <c r="FU1109" s="1"/>
      <c r="FV1109" s="1"/>
      <c r="FW1109" s="1"/>
      <c r="FX1109" s="1"/>
      <c r="FY1109" s="1"/>
      <c r="FZ1109" s="1"/>
      <c r="GA1109" s="1"/>
      <c r="GB1109" s="1"/>
      <c r="GC1109" s="1"/>
      <c r="GD1109" s="1"/>
      <c r="GE1109" s="1"/>
      <c r="GF1109" s="1"/>
      <c r="GG1109" s="1"/>
      <c r="GH1109" s="1"/>
      <c r="GI1109" s="1"/>
      <c r="GJ1109" s="1"/>
      <c r="GK1109" s="1"/>
      <c r="GL1109" s="1"/>
      <c r="GM1109" s="1"/>
      <c r="GN1109" s="1"/>
      <c r="GO1109" s="1"/>
      <c r="GP1109" s="1"/>
      <c r="GQ1109" s="1"/>
      <c r="GR1109" s="1"/>
      <c r="GS1109" s="1"/>
      <c r="GT1109" s="1"/>
      <c r="GU1109" s="1"/>
      <c r="GV1109" s="1"/>
      <c r="GW1109" s="1"/>
      <c r="GX1109" s="1"/>
      <c r="GY1109" s="1"/>
      <c r="GZ1109" s="1"/>
      <c r="HA1109" s="1"/>
      <c r="HB1109" s="1"/>
      <c r="HC1109" s="1"/>
      <c r="HD1109" s="1"/>
      <c r="HE1109" s="1"/>
      <c r="HF1109" s="1"/>
      <c r="HG1109" s="1"/>
      <c r="HH1109" s="1"/>
    </row>
    <row r="1110" spans="1:216" x14ac:dyDescent="0.3">
      <c r="A1110" s="3"/>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c r="FT1110" s="1"/>
      <c r="FU1110" s="1"/>
      <c r="FV1110" s="1"/>
      <c r="FW1110" s="1"/>
      <c r="FX1110" s="1"/>
      <c r="FY1110" s="1"/>
      <c r="FZ1110" s="1"/>
      <c r="GA1110" s="1"/>
      <c r="GB1110" s="1"/>
      <c r="GC1110" s="1"/>
      <c r="GD1110" s="1"/>
      <c r="GE1110" s="1"/>
      <c r="GF1110" s="1"/>
      <c r="GG1110" s="1"/>
      <c r="GH1110" s="1"/>
      <c r="GI1110" s="1"/>
      <c r="GJ1110" s="1"/>
      <c r="GK1110" s="1"/>
      <c r="GL1110" s="1"/>
      <c r="GM1110" s="1"/>
      <c r="GN1110" s="1"/>
      <c r="GO1110" s="1"/>
      <c r="GP1110" s="1"/>
      <c r="GQ1110" s="1"/>
      <c r="GR1110" s="1"/>
      <c r="GS1110" s="1"/>
      <c r="GT1110" s="1"/>
      <c r="GU1110" s="1"/>
      <c r="GV1110" s="1"/>
      <c r="GW1110" s="1"/>
      <c r="GX1110" s="1"/>
      <c r="GY1110" s="1"/>
      <c r="GZ1110" s="1"/>
      <c r="HA1110" s="1"/>
      <c r="HB1110" s="1"/>
      <c r="HC1110" s="1"/>
      <c r="HD1110" s="1"/>
      <c r="HE1110" s="1"/>
      <c r="HF1110" s="1"/>
      <c r="HG1110" s="1"/>
      <c r="HH1110" s="1"/>
    </row>
    <row r="1111" spans="1:216" x14ac:dyDescent="0.3">
      <c r="A1111" s="3"/>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c r="FT1111" s="1"/>
      <c r="FU1111" s="1"/>
      <c r="FV1111" s="1"/>
      <c r="FW1111" s="1"/>
      <c r="FX1111" s="1"/>
      <c r="FY1111" s="1"/>
      <c r="FZ1111" s="1"/>
      <c r="GA1111" s="1"/>
      <c r="GB1111" s="1"/>
      <c r="GC1111" s="1"/>
      <c r="GD1111" s="1"/>
      <c r="GE1111" s="1"/>
      <c r="GF1111" s="1"/>
      <c r="GG1111" s="1"/>
      <c r="GH1111" s="1"/>
      <c r="GI1111" s="1"/>
      <c r="GJ1111" s="1"/>
      <c r="GK1111" s="1"/>
      <c r="GL1111" s="1"/>
      <c r="GM1111" s="1"/>
      <c r="GN1111" s="1"/>
      <c r="GO1111" s="1"/>
      <c r="GP1111" s="1"/>
      <c r="GQ1111" s="1"/>
      <c r="GR1111" s="1"/>
      <c r="GS1111" s="1"/>
      <c r="GT1111" s="1"/>
      <c r="GU1111" s="1"/>
      <c r="GV1111" s="1"/>
      <c r="GW1111" s="1"/>
      <c r="GX1111" s="1"/>
      <c r="GY1111" s="1"/>
      <c r="GZ1111" s="1"/>
      <c r="HA1111" s="1"/>
      <c r="HB1111" s="1"/>
      <c r="HC1111" s="1"/>
      <c r="HD1111" s="1"/>
      <c r="HE1111" s="1"/>
      <c r="HF1111" s="1"/>
      <c r="HG1111" s="1"/>
      <c r="HH1111" s="1"/>
    </row>
    <row r="1112" spans="1:216" x14ac:dyDescent="0.3">
      <c r="A1112" s="3"/>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c r="FT1112" s="1"/>
      <c r="FU1112" s="1"/>
      <c r="FV1112" s="1"/>
      <c r="FW1112" s="1"/>
      <c r="FX1112" s="1"/>
      <c r="FY1112" s="1"/>
      <c r="FZ1112" s="1"/>
      <c r="GA1112" s="1"/>
      <c r="GB1112" s="1"/>
      <c r="GC1112" s="1"/>
      <c r="GD1112" s="1"/>
      <c r="GE1112" s="1"/>
      <c r="GF1112" s="1"/>
      <c r="GG1112" s="1"/>
      <c r="GH1112" s="1"/>
      <c r="GI1112" s="1"/>
      <c r="GJ1112" s="1"/>
      <c r="GK1112" s="1"/>
      <c r="GL1112" s="1"/>
      <c r="GM1112" s="1"/>
      <c r="GN1112" s="1"/>
      <c r="GO1112" s="1"/>
      <c r="GP1112" s="1"/>
      <c r="GQ1112" s="1"/>
      <c r="GR1112" s="1"/>
      <c r="GS1112" s="1"/>
      <c r="GT1112" s="1"/>
      <c r="GU1112" s="1"/>
      <c r="GV1112" s="1"/>
      <c r="GW1112" s="1"/>
      <c r="GX1112" s="1"/>
      <c r="GY1112" s="1"/>
      <c r="GZ1112" s="1"/>
      <c r="HA1112" s="1"/>
      <c r="HB1112" s="1"/>
      <c r="HC1112" s="1"/>
      <c r="HD1112" s="1"/>
      <c r="HE1112" s="1"/>
      <c r="HF1112" s="1"/>
      <c r="HG1112" s="1"/>
      <c r="HH1112" s="1"/>
    </row>
    <row r="1113" spans="1:216" x14ac:dyDescent="0.3">
      <c r="A1113" s="3"/>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c r="FT1113" s="1"/>
      <c r="FU1113" s="1"/>
      <c r="FV1113" s="1"/>
      <c r="FW1113" s="1"/>
      <c r="FX1113" s="1"/>
      <c r="FY1113" s="1"/>
      <c r="FZ1113" s="1"/>
      <c r="GA1113" s="1"/>
      <c r="GB1113" s="1"/>
      <c r="GC1113" s="1"/>
      <c r="GD1113" s="1"/>
      <c r="GE1113" s="1"/>
      <c r="GF1113" s="1"/>
      <c r="GG1113" s="1"/>
      <c r="GH1113" s="1"/>
      <c r="GI1113" s="1"/>
      <c r="GJ1113" s="1"/>
      <c r="GK1113" s="1"/>
      <c r="GL1113" s="1"/>
      <c r="GM1113" s="1"/>
      <c r="GN1113" s="1"/>
      <c r="GO1113" s="1"/>
      <c r="GP1113" s="1"/>
      <c r="GQ1113" s="1"/>
      <c r="GR1113" s="1"/>
      <c r="GS1113" s="1"/>
      <c r="GT1113" s="1"/>
      <c r="GU1113" s="1"/>
      <c r="GV1113" s="1"/>
      <c r="GW1113" s="1"/>
      <c r="GX1113" s="1"/>
      <c r="GY1113" s="1"/>
      <c r="GZ1113" s="1"/>
      <c r="HA1113" s="1"/>
      <c r="HB1113" s="1"/>
      <c r="HC1113" s="1"/>
      <c r="HD1113" s="1"/>
      <c r="HE1113" s="1"/>
      <c r="HF1113" s="1"/>
      <c r="HG1113" s="1"/>
      <c r="HH1113" s="1"/>
    </row>
    <row r="1114" spans="1:216" x14ac:dyDescent="0.3">
      <c r="A1114" s="3"/>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c r="FT1114" s="1"/>
      <c r="FU1114" s="1"/>
      <c r="FV1114" s="1"/>
      <c r="FW1114" s="1"/>
      <c r="FX1114" s="1"/>
      <c r="FY1114" s="1"/>
      <c r="FZ1114" s="1"/>
      <c r="GA1114" s="1"/>
      <c r="GB1114" s="1"/>
      <c r="GC1114" s="1"/>
      <c r="GD1114" s="1"/>
      <c r="GE1114" s="1"/>
      <c r="GF1114" s="1"/>
      <c r="GG1114" s="1"/>
      <c r="GH1114" s="1"/>
      <c r="GI1114" s="1"/>
      <c r="GJ1114" s="1"/>
      <c r="GK1114" s="1"/>
      <c r="GL1114" s="1"/>
      <c r="GM1114" s="1"/>
      <c r="GN1114" s="1"/>
      <c r="GO1114" s="1"/>
      <c r="GP1114" s="1"/>
      <c r="GQ1114" s="1"/>
      <c r="GR1114" s="1"/>
      <c r="GS1114" s="1"/>
      <c r="GT1114" s="1"/>
      <c r="GU1114" s="1"/>
      <c r="GV1114" s="1"/>
      <c r="GW1114" s="1"/>
      <c r="GX1114" s="1"/>
      <c r="GY1114" s="1"/>
      <c r="GZ1114" s="1"/>
      <c r="HA1114" s="1"/>
      <c r="HB1114" s="1"/>
      <c r="HC1114" s="1"/>
      <c r="HD1114" s="1"/>
      <c r="HE1114" s="1"/>
      <c r="HF1114" s="1"/>
      <c r="HG1114" s="1"/>
      <c r="HH1114" s="1"/>
    </row>
    <row r="1115" spans="1:216" x14ac:dyDescent="0.3">
      <c r="A1115" s="3"/>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c r="FT1115" s="1"/>
      <c r="FU1115" s="1"/>
      <c r="FV1115" s="1"/>
      <c r="FW1115" s="1"/>
      <c r="FX1115" s="1"/>
      <c r="FY1115" s="1"/>
      <c r="FZ1115" s="1"/>
      <c r="GA1115" s="1"/>
      <c r="GB1115" s="1"/>
      <c r="GC1115" s="1"/>
      <c r="GD1115" s="1"/>
      <c r="GE1115" s="1"/>
      <c r="GF1115" s="1"/>
      <c r="GG1115" s="1"/>
      <c r="GH1115" s="1"/>
      <c r="GI1115" s="1"/>
      <c r="GJ1115" s="1"/>
      <c r="GK1115" s="1"/>
      <c r="GL1115" s="1"/>
      <c r="GM1115" s="1"/>
      <c r="GN1115" s="1"/>
      <c r="GO1115" s="1"/>
      <c r="GP1115" s="1"/>
      <c r="GQ1115" s="1"/>
      <c r="GR1115" s="1"/>
      <c r="GS1115" s="1"/>
      <c r="GT1115" s="1"/>
      <c r="GU1115" s="1"/>
      <c r="GV1115" s="1"/>
      <c r="GW1115" s="1"/>
      <c r="GX1115" s="1"/>
      <c r="GY1115" s="1"/>
      <c r="GZ1115" s="1"/>
      <c r="HA1115" s="1"/>
      <c r="HB1115" s="1"/>
      <c r="HC1115" s="1"/>
      <c r="HD1115" s="1"/>
      <c r="HE1115" s="1"/>
      <c r="HF1115" s="1"/>
      <c r="HG1115" s="1"/>
      <c r="HH1115" s="1"/>
    </row>
    <row r="1116" spans="1:216" x14ac:dyDescent="0.3">
      <c r="A1116" s="3"/>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c r="FT1116" s="1"/>
      <c r="FU1116" s="1"/>
      <c r="FV1116" s="1"/>
      <c r="FW1116" s="1"/>
      <c r="FX1116" s="1"/>
      <c r="FY1116" s="1"/>
      <c r="FZ1116" s="1"/>
      <c r="GA1116" s="1"/>
      <c r="GB1116" s="1"/>
      <c r="GC1116" s="1"/>
      <c r="GD1116" s="1"/>
      <c r="GE1116" s="1"/>
      <c r="GF1116" s="1"/>
      <c r="GG1116" s="1"/>
      <c r="GH1116" s="1"/>
      <c r="GI1116" s="1"/>
      <c r="GJ1116" s="1"/>
      <c r="GK1116" s="1"/>
      <c r="GL1116" s="1"/>
      <c r="GM1116" s="1"/>
      <c r="GN1116" s="1"/>
      <c r="GO1116" s="1"/>
      <c r="GP1116" s="1"/>
      <c r="GQ1116" s="1"/>
      <c r="GR1116" s="1"/>
      <c r="GS1116" s="1"/>
      <c r="GT1116" s="1"/>
      <c r="GU1116" s="1"/>
      <c r="GV1116" s="1"/>
      <c r="GW1116" s="1"/>
      <c r="GX1116" s="1"/>
      <c r="GY1116" s="1"/>
      <c r="GZ1116" s="1"/>
      <c r="HA1116" s="1"/>
      <c r="HB1116" s="1"/>
      <c r="HC1116" s="1"/>
      <c r="HD1116" s="1"/>
      <c r="HE1116" s="1"/>
      <c r="HF1116" s="1"/>
      <c r="HG1116" s="1"/>
      <c r="HH1116" s="1"/>
    </row>
    <row r="1117" spans="1:216" x14ac:dyDescent="0.3">
      <c r="A1117" s="3"/>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c r="FT1117" s="1"/>
      <c r="FU1117" s="1"/>
      <c r="FV1117" s="1"/>
      <c r="FW1117" s="1"/>
      <c r="FX1117" s="1"/>
      <c r="FY1117" s="1"/>
      <c r="FZ1117" s="1"/>
      <c r="GA1117" s="1"/>
      <c r="GB1117" s="1"/>
      <c r="GC1117" s="1"/>
      <c r="GD1117" s="1"/>
      <c r="GE1117" s="1"/>
      <c r="GF1117" s="1"/>
      <c r="GG1117" s="1"/>
      <c r="GH1117" s="1"/>
      <c r="GI1117" s="1"/>
      <c r="GJ1117" s="1"/>
      <c r="GK1117" s="1"/>
      <c r="GL1117" s="1"/>
      <c r="GM1117" s="1"/>
      <c r="GN1117" s="1"/>
      <c r="GO1117" s="1"/>
      <c r="GP1117" s="1"/>
      <c r="GQ1117" s="1"/>
      <c r="GR1117" s="1"/>
      <c r="GS1117" s="1"/>
      <c r="GT1117" s="1"/>
      <c r="GU1117" s="1"/>
      <c r="GV1117" s="1"/>
      <c r="GW1117" s="1"/>
      <c r="GX1117" s="1"/>
      <c r="GY1117" s="1"/>
      <c r="GZ1117" s="1"/>
      <c r="HA1117" s="1"/>
      <c r="HB1117" s="1"/>
      <c r="HC1117" s="1"/>
      <c r="HD1117" s="1"/>
      <c r="HE1117" s="1"/>
      <c r="HF1117" s="1"/>
      <c r="HG1117" s="1"/>
      <c r="HH1117" s="1"/>
    </row>
    <row r="1118" spans="1:216" x14ac:dyDescent="0.3">
      <c r="A1118" s="3"/>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c r="FT1118" s="1"/>
      <c r="FU1118" s="1"/>
      <c r="FV1118" s="1"/>
      <c r="FW1118" s="1"/>
      <c r="FX1118" s="1"/>
      <c r="FY1118" s="1"/>
      <c r="FZ1118" s="1"/>
      <c r="GA1118" s="1"/>
      <c r="GB1118" s="1"/>
      <c r="GC1118" s="1"/>
      <c r="GD1118" s="1"/>
      <c r="GE1118" s="1"/>
      <c r="GF1118" s="1"/>
      <c r="GG1118" s="1"/>
      <c r="GH1118" s="1"/>
      <c r="GI1118" s="1"/>
      <c r="GJ1118" s="1"/>
      <c r="GK1118" s="1"/>
      <c r="GL1118" s="1"/>
      <c r="GM1118" s="1"/>
      <c r="GN1118" s="1"/>
      <c r="GO1118" s="1"/>
      <c r="GP1118" s="1"/>
      <c r="GQ1118" s="1"/>
      <c r="GR1118" s="1"/>
      <c r="GS1118" s="1"/>
      <c r="GT1118" s="1"/>
      <c r="GU1118" s="1"/>
      <c r="GV1118" s="1"/>
      <c r="GW1118" s="1"/>
      <c r="GX1118" s="1"/>
      <c r="GY1118" s="1"/>
      <c r="GZ1118" s="1"/>
      <c r="HA1118" s="1"/>
      <c r="HB1118" s="1"/>
      <c r="HC1118" s="1"/>
      <c r="HD1118" s="1"/>
      <c r="HE1118" s="1"/>
      <c r="HF1118" s="1"/>
      <c r="HG1118" s="1"/>
      <c r="HH1118" s="1"/>
    </row>
    <row r="1119" spans="1:216" x14ac:dyDescent="0.3">
      <c r="A1119" s="3"/>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c r="FT1119" s="1"/>
      <c r="FU1119" s="1"/>
      <c r="FV1119" s="1"/>
      <c r="FW1119" s="1"/>
      <c r="FX1119" s="1"/>
      <c r="FY1119" s="1"/>
      <c r="FZ1119" s="1"/>
      <c r="GA1119" s="1"/>
      <c r="GB1119" s="1"/>
      <c r="GC1119" s="1"/>
      <c r="GD1119" s="1"/>
      <c r="GE1119" s="1"/>
      <c r="GF1119" s="1"/>
      <c r="GG1119" s="1"/>
      <c r="GH1119" s="1"/>
      <c r="GI1119" s="1"/>
      <c r="GJ1119" s="1"/>
      <c r="GK1119" s="1"/>
      <c r="GL1119" s="1"/>
      <c r="GM1119" s="1"/>
      <c r="GN1119" s="1"/>
      <c r="GO1119" s="1"/>
      <c r="GP1119" s="1"/>
      <c r="GQ1119" s="1"/>
      <c r="GR1119" s="1"/>
      <c r="GS1119" s="1"/>
      <c r="GT1119" s="1"/>
      <c r="GU1119" s="1"/>
      <c r="GV1119" s="1"/>
      <c r="GW1119" s="1"/>
      <c r="GX1119" s="1"/>
      <c r="GY1119" s="1"/>
      <c r="GZ1119" s="1"/>
      <c r="HA1119" s="1"/>
      <c r="HB1119" s="1"/>
      <c r="HC1119" s="1"/>
      <c r="HD1119" s="1"/>
      <c r="HE1119" s="1"/>
      <c r="HF1119" s="1"/>
      <c r="HG1119" s="1"/>
      <c r="HH1119" s="1"/>
    </row>
    <row r="1120" spans="1:216" x14ac:dyDescent="0.3">
      <c r="A1120" s="3"/>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c r="FT1120" s="1"/>
      <c r="FU1120" s="1"/>
      <c r="FV1120" s="1"/>
      <c r="FW1120" s="1"/>
      <c r="FX1120" s="1"/>
      <c r="FY1120" s="1"/>
      <c r="FZ1120" s="1"/>
      <c r="GA1120" s="1"/>
      <c r="GB1120" s="1"/>
      <c r="GC1120" s="1"/>
      <c r="GD1120" s="1"/>
      <c r="GE1120" s="1"/>
      <c r="GF1120" s="1"/>
      <c r="GG1120" s="1"/>
      <c r="GH1120" s="1"/>
      <c r="GI1120" s="1"/>
      <c r="GJ1120" s="1"/>
      <c r="GK1120" s="1"/>
      <c r="GL1120" s="1"/>
      <c r="GM1120" s="1"/>
      <c r="GN1120" s="1"/>
      <c r="GO1120" s="1"/>
      <c r="GP1120" s="1"/>
      <c r="GQ1120" s="1"/>
      <c r="GR1120" s="1"/>
      <c r="GS1120" s="1"/>
      <c r="GT1120" s="1"/>
      <c r="GU1120" s="1"/>
      <c r="GV1120" s="1"/>
      <c r="GW1120" s="1"/>
      <c r="GX1120" s="1"/>
      <c r="GY1120" s="1"/>
      <c r="GZ1120" s="1"/>
      <c r="HA1120" s="1"/>
      <c r="HB1120" s="1"/>
      <c r="HC1120" s="1"/>
      <c r="HD1120" s="1"/>
      <c r="HE1120" s="1"/>
      <c r="HF1120" s="1"/>
      <c r="HG1120" s="1"/>
      <c r="HH1120" s="1"/>
    </row>
    <row r="1121" spans="1:216" x14ac:dyDescent="0.3">
      <c r="A1121" s="3"/>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c r="FT1121" s="1"/>
      <c r="FU1121" s="1"/>
      <c r="FV1121" s="1"/>
      <c r="FW1121" s="1"/>
      <c r="FX1121" s="1"/>
      <c r="FY1121" s="1"/>
      <c r="FZ1121" s="1"/>
      <c r="GA1121" s="1"/>
      <c r="GB1121" s="1"/>
      <c r="GC1121" s="1"/>
      <c r="GD1121" s="1"/>
      <c r="GE1121" s="1"/>
      <c r="GF1121" s="1"/>
      <c r="GG1121" s="1"/>
      <c r="GH1121" s="1"/>
      <c r="GI1121" s="1"/>
      <c r="GJ1121" s="1"/>
      <c r="GK1121" s="1"/>
      <c r="GL1121" s="1"/>
      <c r="GM1121" s="1"/>
      <c r="GN1121" s="1"/>
      <c r="GO1121" s="1"/>
      <c r="GP1121" s="1"/>
      <c r="GQ1121" s="1"/>
      <c r="GR1121" s="1"/>
      <c r="GS1121" s="1"/>
      <c r="GT1121" s="1"/>
      <c r="GU1121" s="1"/>
      <c r="GV1121" s="1"/>
      <c r="GW1121" s="1"/>
      <c r="GX1121" s="1"/>
      <c r="GY1121" s="1"/>
      <c r="GZ1121" s="1"/>
      <c r="HA1121" s="1"/>
      <c r="HB1121" s="1"/>
      <c r="HC1121" s="1"/>
      <c r="HD1121" s="1"/>
      <c r="HE1121" s="1"/>
      <c r="HF1121" s="1"/>
      <c r="HG1121" s="1"/>
      <c r="HH1121" s="1"/>
    </row>
    <row r="1122" spans="1:216" x14ac:dyDescent="0.3">
      <c r="A1122" s="3"/>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c r="FT1122" s="1"/>
      <c r="FU1122" s="1"/>
      <c r="FV1122" s="1"/>
      <c r="FW1122" s="1"/>
      <c r="FX1122" s="1"/>
      <c r="FY1122" s="1"/>
      <c r="FZ1122" s="1"/>
      <c r="GA1122" s="1"/>
      <c r="GB1122" s="1"/>
      <c r="GC1122" s="1"/>
      <c r="GD1122" s="1"/>
      <c r="GE1122" s="1"/>
      <c r="GF1122" s="1"/>
      <c r="GG1122" s="1"/>
      <c r="GH1122" s="1"/>
      <c r="GI1122" s="1"/>
      <c r="GJ1122" s="1"/>
      <c r="GK1122" s="1"/>
      <c r="GL1122" s="1"/>
      <c r="GM1122" s="1"/>
      <c r="GN1122" s="1"/>
      <c r="GO1122" s="1"/>
      <c r="GP1122" s="1"/>
      <c r="GQ1122" s="1"/>
      <c r="GR1122" s="1"/>
      <c r="GS1122" s="1"/>
      <c r="GT1122" s="1"/>
      <c r="GU1122" s="1"/>
      <c r="GV1122" s="1"/>
      <c r="GW1122" s="1"/>
      <c r="GX1122" s="1"/>
      <c r="GY1122" s="1"/>
      <c r="GZ1122" s="1"/>
      <c r="HA1122" s="1"/>
      <c r="HB1122" s="1"/>
      <c r="HC1122" s="1"/>
      <c r="HD1122" s="1"/>
      <c r="HE1122" s="1"/>
      <c r="HF1122" s="1"/>
      <c r="HG1122" s="1"/>
      <c r="HH1122" s="1"/>
    </row>
    <row r="1123" spans="1:216" x14ac:dyDescent="0.3">
      <c r="A1123" s="3"/>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c r="FT1123" s="1"/>
      <c r="FU1123" s="1"/>
      <c r="FV1123" s="1"/>
      <c r="FW1123" s="1"/>
      <c r="FX1123" s="1"/>
      <c r="FY1123" s="1"/>
      <c r="FZ1123" s="1"/>
      <c r="GA1123" s="1"/>
      <c r="GB1123" s="1"/>
      <c r="GC1123" s="1"/>
      <c r="GD1123" s="1"/>
      <c r="GE1123" s="1"/>
      <c r="GF1123" s="1"/>
      <c r="GG1123" s="1"/>
      <c r="GH1123" s="1"/>
      <c r="GI1123" s="1"/>
      <c r="GJ1123" s="1"/>
      <c r="GK1123" s="1"/>
      <c r="GL1123" s="1"/>
      <c r="GM1123" s="1"/>
      <c r="GN1123" s="1"/>
      <c r="GO1123" s="1"/>
      <c r="GP1123" s="1"/>
      <c r="GQ1123" s="1"/>
      <c r="GR1123" s="1"/>
      <c r="GS1123" s="1"/>
      <c r="GT1123" s="1"/>
      <c r="GU1123" s="1"/>
      <c r="GV1123" s="1"/>
      <c r="GW1123" s="1"/>
      <c r="GX1123" s="1"/>
      <c r="GY1123" s="1"/>
      <c r="GZ1123" s="1"/>
      <c r="HA1123" s="1"/>
      <c r="HB1123" s="1"/>
      <c r="HC1123" s="1"/>
      <c r="HD1123" s="1"/>
      <c r="HE1123" s="1"/>
      <c r="HF1123" s="1"/>
      <c r="HG1123" s="1"/>
      <c r="HH1123" s="1"/>
    </row>
    <row r="1124" spans="1:216" x14ac:dyDescent="0.3">
      <c r="A1124" s="3"/>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1"/>
      <c r="GD1124" s="1"/>
      <c r="GE1124" s="1"/>
      <c r="GF1124" s="1"/>
      <c r="GG1124" s="1"/>
      <c r="GH1124" s="1"/>
      <c r="GI1124" s="1"/>
      <c r="GJ1124" s="1"/>
      <c r="GK1124" s="1"/>
      <c r="GL1124" s="1"/>
      <c r="GM1124" s="1"/>
      <c r="GN1124" s="1"/>
      <c r="GO1124" s="1"/>
      <c r="GP1124" s="1"/>
      <c r="GQ1124" s="1"/>
      <c r="GR1124" s="1"/>
      <c r="GS1124" s="1"/>
      <c r="GT1124" s="1"/>
      <c r="GU1124" s="1"/>
      <c r="GV1124" s="1"/>
      <c r="GW1124" s="1"/>
      <c r="GX1124" s="1"/>
      <c r="GY1124" s="1"/>
      <c r="GZ1124" s="1"/>
      <c r="HA1124" s="1"/>
      <c r="HB1124" s="1"/>
      <c r="HC1124" s="1"/>
      <c r="HD1124" s="1"/>
      <c r="HE1124" s="1"/>
      <c r="HF1124" s="1"/>
      <c r="HG1124" s="1"/>
      <c r="HH1124" s="1"/>
    </row>
    <row r="1125" spans="1:216" x14ac:dyDescent="0.3">
      <c r="A1125" s="3"/>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c r="FT1125" s="1"/>
      <c r="FU1125" s="1"/>
      <c r="FV1125" s="1"/>
      <c r="FW1125" s="1"/>
      <c r="FX1125" s="1"/>
      <c r="FY1125" s="1"/>
      <c r="FZ1125" s="1"/>
      <c r="GA1125" s="1"/>
      <c r="GB1125" s="1"/>
      <c r="GC1125" s="1"/>
      <c r="GD1125" s="1"/>
      <c r="GE1125" s="1"/>
      <c r="GF1125" s="1"/>
      <c r="GG1125" s="1"/>
      <c r="GH1125" s="1"/>
      <c r="GI1125" s="1"/>
      <c r="GJ1125" s="1"/>
      <c r="GK1125" s="1"/>
      <c r="GL1125" s="1"/>
      <c r="GM1125" s="1"/>
      <c r="GN1125" s="1"/>
      <c r="GO1125" s="1"/>
      <c r="GP1125" s="1"/>
      <c r="GQ1125" s="1"/>
      <c r="GR1125" s="1"/>
      <c r="GS1125" s="1"/>
      <c r="GT1125" s="1"/>
      <c r="GU1125" s="1"/>
      <c r="GV1125" s="1"/>
      <c r="GW1125" s="1"/>
      <c r="GX1125" s="1"/>
      <c r="GY1125" s="1"/>
      <c r="GZ1125" s="1"/>
      <c r="HA1125" s="1"/>
      <c r="HB1125" s="1"/>
      <c r="HC1125" s="1"/>
      <c r="HD1125" s="1"/>
      <c r="HE1125" s="1"/>
      <c r="HF1125" s="1"/>
      <c r="HG1125" s="1"/>
      <c r="HH1125" s="1"/>
    </row>
    <row r="1126" spans="1:216" x14ac:dyDescent="0.3">
      <c r="A1126" s="3"/>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c r="FT1126" s="1"/>
      <c r="FU1126" s="1"/>
      <c r="FV1126" s="1"/>
      <c r="FW1126" s="1"/>
      <c r="FX1126" s="1"/>
      <c r="FY1126" s="1"/>
      <c r="FZ1126" s="1"/>
      <c r="GA1126" s="1"/>
      <c r="GB1126" s="1"/>
      <c r="GC1126" s="1"/>
      <c r="GD1126" s="1"/>
      <c r="GE1126" s="1"/>
      <c r="GF1126" s="1"/>
      <c r="GG1126" s="1"/>
      <c r="GH1126" s="1"/>
      <c r="GI1126" s="1"/>
      <c r="GJ1126" s="1"/>
      <c r="GK1126" s="1"/>
      <c r="GL1126" s="1"/>
      <c r="GM1126" s="1"/>
      <c r="GN1126" s="1"/>
      <c r="GO1126" s="1"/>
      <c r="GP1126" s="1"/>
      <c r="GQ1126" s="1"/>
      <c r="GR1126" s="1"/>
      <c r="GS1126" s="1"/>
      <c r="GT1126" s="1"/>
      <c r="GU1126" s="1"/>
      <c r="GV1126" s="1"/>
      <c r="GW1126" s="1"/>
      <c r="GX1126" s="1"/>
      <c r="GY1126" s="1"/>
      <c r="GZ1126" s="1"/>
      <c r="HA1126" s="1"/>
      <c r="HB1126" s="1"/>
      <c r="HC1126" s="1"/>
      <c r="HD1126" s="1"/>
      <c r="HE1126" s="1"/>
      <c r="HF1126" s="1"/>
      <c r="HG1126" s="1"/>
      <c r="HH1126" s="1"/>
    </row>
    <row r="1127" spans="1:216" x14ac:dyDescent="0.3">
      <c r="A1127" s="3"/>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c r="FT1127" s="1"/>
      <c r="FU1127" s="1"/>
      <c r="FV1127" s="1"/>
      <c r="FW1127" s="1"/>
      <c r="FX1127" s="1"/>
      <c r="FY1127" s="1"/>
      <c r="FZ1127" s="1"/>
      <c r="GA1127" s="1"/>
      <c r="GB1127" s="1"/>
      <c r="GC1127" s="1"/>
      <c r="GD1127" s="1"/>
      <c r="GE1127" s="1"/>
      <c r="GF1127" s="1"/>
      <c r="GG1127" s="1"/>
      <c r="GH1127" s="1"/>
      <c r="GI1127" s="1"/>
      <c r="GJ1127" s="1"/>
      <c r="GK1127" s="1"/>
      <c r="GL1127" s="1"/>
      <c r="GM1127" s="1"/>
      <c r="GN1127" s="1"/>
      <c r="GO1127" s="1"/>
      <c r="GP1127" s="1"/>
      <c r="GQ1127" s="1"/>
      <c r="GR1127" s="1"/>
      <c r="GS1127" s="1"/>
      <c r="GT1127" s="1"/>
      <c r="GU1127" s="1"/>
      <c r="GV1127" s="1"/>
      <c r="GW1127" s="1"/>
      <c r="GX1127" s="1"/>
      <c r="GY1127" s="1"/>
      <c r="GZ1127" s="1"/>
      <c r="HA1127" s="1"/>
      <c r="HB1127" s="1"/>
      <c r="HC1127" s="1"/>
      <c r="HD1127" s="1"/>
      <c r="HE1127" s="1"/>
      <c r="HF1127" s="1"/>
      <c r="HG1127" s="1"/>
      <c r="HH1127" s="1"/>
    </row>
    <row r="1128" spans="1:216" x14ac:dyDescent="0.3">
      <c r="A1128" s="3"/>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c r="FT1128" s="1"/>
      <c r="FU1128" s="1"/>
      <c r="FV1128" s="1"/>
      <c r="FW1128" s="1"/>
      <c r="FX1128" s="1"/>
      <c r="FY1128" s="1"/>
      <c r="FZ1128" s="1"/>
      <c r="GA1128" s="1"/>
      <c r="GB1128" s="1"/>
      <c r="GC1128" s="1"/>
      <c r="GD1128" s="1"/>
      <c r="GE1128" s="1"/>
      <c r="GF1128" s="1"/>
      <c r="GG1128" s="1"/>
      <c r="GH1128" s="1"/>
      <c r="GI1128" s="1"/>
      <c r="GJ1128" s="1"/>
      <c r="GK1128" s="1"/>
      <c r="GL1128" s="1"/>
      <c r="GM1128" s="1"/>
      <c r="GN1128" s="1"/>
      <c r="GO1128" s="1"/>
      <c r="GP1128" s="1"/>
      <c r="GQ1128" s="1"/>
      <c r="GR1128" s="1"/>
      <c r="GS1128" s="1"/>
      <c r="GT1128" s="1"/>
      <c r="GU1128" s="1"/>
      <c r="GV1128" s="1"/>
      <c r="GW1128" s="1"/>
      <c r="GX1128" s="1"/>
      <c r="GY1128" s="1"/>
      <c r="GZ1128" s="1"/>
      <c r="HA1128" s="1"/>
      <c r="HB1128" s="1"/>
      <c r="HC1128" s="1"/>
      <c r="HD1128" s="1"/>
      <c r="HE1128" s="1"/>
      <c r="HF1128" s="1"/>
      <c r="HG1128" s="1"/>
      <c r="HH1128" s="1"/>
    </row>
    <row r="1129" spans="1:216" x14ac:dyDescent="0.3">
      <c r="A1129" s="3"/>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c r="FT1129" s="1"/>
      <c r="FU1129" s="1"/>
      <c r="FV1129" s="1"/>
      <c r="FW1129" s="1"/>
      <c r="FX1129" s="1"/>
      <c r="FY1129" s="1"/>
      <c r="FZ1129" s="1"/>
      <c r="GA1129" s="1"/>
      <c r="GB1129" s="1"/>
      <c r="GC1129" s="1"/>
      <c r="GD1129" s="1"/>
      <c r="GE1129" s="1"/>
      <c r="GF1129" s="1"/>
      <c r="GG1129" s="1"/>
      <c r="GH1129" s="1"/>
      <c r="GI1129" s="1"/>
      <c r="GJ1129" s="1"/>
      <c r="GK1129" s="1"/>
      <c r="GL1129" s="1"/>
      <c r="GM1129" s="1"/>
      <c r="GN1129" s="1"/>
      <c r="GO1129" s="1"/>
      <c r="GP1129" s="1"/>
      <c r="GQ1129" s="1"/>
      <c r="GR1129" s="1"/>
      <c r="GS1129" s="1"/>
      <c r="GT1129" s="1"/>
      <c r="GU1129" s="1"/>
      <c r="GV1129" s="1"/>
      <c r="GW1129" s="1"/>
      <c r="GX1129" s="1"/>
      <c r="GY1129" s="1"/>
      <c r="GZ1129" s="1"/>
      <c r="HA1129" s="1"/>
      <c r="HB1129" s="1"/>
      <c r="HC1129" s="1"/>
      <c r="HD1129" s="1"/>
      <c r="HE1129" s="1"/>
      <c r="HF1129" s="1"/>
      <c r="HG1129" s="1"/>
      <c r="HH1129" s="1"/>
    </row>
    <row r="1130" spans="1:216" x14ac:dyDescent="0.3">
      <c r="A1130" s="3"/>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1"/>
      <c r="GD1130" s="1"/>
      <c r="GE1130" s="1"/>
      <c r="GF1130" s="1"/>
      <c r="GG1130" s="1"/>
      <c r="GH1130" s="1"/>
      <c r="GI1130" s="1"/>
      <c r="GJ1130" s="1"/>
      <c r="GK1130" s="1"/>
      <c r="GL1130" s="1"/>
      <c r="GM1130" s="1"/>
      <c r="GN1130" s="1"/>
      <c r="GO1130" s="1"/>
      <c r="GP1130" s="1"/>
      <c r="GQ1130" s="1"/>
      <c r="GR1130" s="1"/>
      <c r="GS1130" s="1"/>
      <c r="GT1130" s="1"/>
      <c r="GU1130" s="1"/>
      <c r="GV1130" s="1"/>
      <c r="GW1130" s="1"/>
      <c r="GX1130" s="1"/>
      <c r="GY1130" s="1"/>
      <c r="GZ1130" s="1"/>
      <c r="HA1130" s="1"/>
      <c r="HB1130" s="1"/>
      <c r="HC1130" s="1"/>
      <c r="HD1130" s="1"/>
      <c r="HE1130" s="1"/>
      <c r="HF1130" s="1"/>
      <c r="HG1130" s="1"/>
      <c r="HH1130" s="1"/>
    </row>
    <row r="1131" spans="1:216" x14ac:dyDescent="0.3">
      <c r="A1131" s="3"/>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c r="FT1131" s="1"/>
      <c r="FU1131" s="1"/>
      <c r="FV1131" s="1"/>
      <c r="FW1131" s="1"/>
      <c r="FX1131" s="1"/>
      <c r="FY1131" s="1"/>
      <c r="FZ1131" s="1"/>
      <c r="GA1131" s="1"/>
      <c r="GB1131" s="1"/>
      <c r="GC1131" s="1"/>
      <c r="GD1131" s="1"/>
      <c r="GE1131" s="1"/>
      <c r="GF1131" s="1"/>
      <c r="GG1131" s="1"/>
      <c r="GH1131" s="1"/>
      <c r="GI1131" s="1"/>
      <c r="GJ1131" s="1"/>
      <c r="GK1131" s="1"/>
      <c r="GL1131" s="1"/>
      <c r="GM1131" s="1"/>
      <c r="GN1131" s="1"/>
      <c r="GO1131" s="1"/>
      <c r="GP1131" s="1"/>
      <c r="GQ1131" s="1"/>
      <c r="GR1131" s="1"/>
      <c r="GS1131" s="1"/>
      <c r="GT1131" s="1"/>
      <c r="GU1131" s="1"/>
      <c r="GV1131" s="1"/>
      <c r="GW1131" s="1"/>
      <c r="GX1131" s="1"/>
      <c r="GY1131" s="1"/>
      <c r="GZ1131" s="1"/>
      <c r="HA1131" s="1"/>
      <c r="HB1131" s="1"/>
      <c r="HC1131" s="1"/>
      <c r="HD1131" s="1"/>
      <c r="HE1131" s="1"/>
      <c r="HF1131" s="1"/>
      <c r="HG1131" s="1"/>
      <c r="HH1131" s="1"/>
    </row>
    <row r="1132" spans="1:216" x14ac:dyDescent="0.3">
      <c r="A1132" s="3"/>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c r="FT1132" s="1"/>
      <c r="FU1132" s="1"/>
      <c r="FV1132" s="1"/>
      <c r="FW1132" s="1"/>
      <c r="FX1132" s="1"/>
      <c r="FY1132" s="1"/>
      <c r="FZ1132" s="1"/>
      <c r="GA1132" s="1"/>
      <c r="GB1132" s="1"/>
      <c r="GC1132" s="1"/>
      <c r="GD1132" s="1"/>
      <c r="GE1132" s="1"/>
      <c r="GF1132" s="1"/>
      <c r="GG1132" s="1"/>
      <c r="GH1132" s="1"/>
      <c r="GI1132" s="1"/>
      <c r="GJ1132" s="1"/>
      <c r="GK1132" s="1"/>
      <c r="GL1132" s="1"/>
      <c r="GM1132" s="1"/>
      <c r="GN1132" s="1"/>
      <c r="GO1132" s="1"/>
      <c r="GP1132" s="1"/>
      <c r="GQ1132" s="1"/>
      <c r="GR1132" s="1"/>
      <c r="GS1132" s="1"/>
      <c r="GT1132" s="1"/>
      <c r="GU1132" s="1"/>
      <c r="GV1132" s="1"/>
      <c r="GW1132" s="1"/>
      <c r="GX1132" s="1"/>
      <c r="GY1132" s="1"/>
      <c r="GZ1132" s="1"/>
      <c r="HA1132" s="1"/>
      <c r="HB1132" s="1"/>
      <c r="HC1132" s="1"/>
      <c r="HD1132" s="1"/>
      <c r="HE1132" s="1"/>
      <c r="HF1132" s="1"/>
      <c r="HG1132" s="1"/>
      <c r="HH1132" s="1"/>
    </row>
    <row r="1133" spans="1:216" x14ac:dyDescent="0.3">
      <c r="A1133" s="3"/>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c r="FT1133" s="1"/>
      <c r="FU1133" s="1"/>
      <c r="FV1133" s="1"/>
      <c r="FW1133" s="1"/>
      <c r="FX1133" s="1"/>
      <c r="FY1133" s="1"/>
      <c r="FZ1133" s="1"/>
      <c r="GA1133" s="1"/>
      <c r="GB1133" s="1"/>
      <c r="GC1133" s="1"/>
      <c r="GD1133" s="1"/>
      <c r="GE1133" s="1"/>
      <c r="GF1133" s="1"/>
      <c r="GG1133" s="1"/>
      <c r="GH1133" s="1"/>
      <c r="GI1133" s="1"/>
      <c r="GJ1133" s="1"/>
      <c r="GK1133" s="1"/>
      <c r="GL1133" s="1"/>
      <c r="GM1133" s="1"/>
      <c r="GN1133" s="1"/>
      <c r="GO1133" s="1"/>
      <c r="GP1133" s="1"/>
      <c r="GQ1133" s="1"/>
      <c r="GR1133" s="1"/>
      <c r="GS1133" s="1"/>
      <c r="GT1133" s="1"/>
      <c r="GU1133" s="1"/>
      <c r="GV1133" s="1"/>
      <c r="GW1133" s="1"/>
      <c r="GX1133" s="1"/>
      <c r="GY1133" s="1"/>
      <c r="GZ1133" s="1"/>
      <c r="HA1133" s="1"/>
      <c r="HB1133" s="1"/>
      <c r="HC1133" s="1"/>
      <c r="HD1133" s="1"/>
      <c r="HE1133" s="1"/>
      <c r="HF1133" s="1"/>
      <c r="HG1133" s="1"/>
      <c r="HH1133" s="1"/>
    </row>
    <row r="1134" spans="1:216" x14ac:dyDescent="0.3">
      <c r="A1134" s="3"/>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c r="FT1134" s="1"/>
      <c r="FU1134" s="1"/>
      <c r="FV1134" s="1"/>
      <c r="FW1134" s="1"/>
      <c r="FX1134" s="1"/>
      <c r="FY1134" s="1"/>
      <c r="FZ1134" s="1"/>
      <c r="GA1134" s="1"/>
      <c r="GB1134" s="1"/>
      <c r="GC1134" s="1"/>
      <c r="GD1134" s="1"/>
      <c r="GE1134" s="1"/>
      <c r="GF1134" s="1"/>
      <c r="GG1134" s="1"/>
      <c r="GH1134" s="1"/>
      <c r="GI1134" s="1"/>
      <c r="GJ1134" s="1"/>
      <c r="GK1134" s="1"/>
      <c r="GL1134" s="1"/>
      <c r="GM1134" s="1"/>
      <c r="GN1134" s="1"/>
      <c r="GO1134" s="1"/>
      <c r="GP1134" s="1"/>
      <c r="GQ1134" s="1"/>
      <c r="GR1134" s="1"/>
      <c r="GS1134" s="1"/>
      <c r="GT1134" s="1"/>
      <c r="GU1134" s="1"/>
      <c r="GV1134" s="1"/>
      <c r="GW1134" s="1"/>
      <c r="GX1134" s="1"/>
      <c r="GY1134" s="1"/>
      <c r="GZ1134" s="1"/>
      <c r="HA1134" s="1"/>
      <c r="HB1134" s="1"/>
      <c r="HC1134" s="1"/>
      <c r="HD1134" s="1"/>
      <c r="HE1134" s="1"/>
      <c r="HF1134" s="1"/>
      <c r="HG1134" s="1"/>
      <c r="HH1134" s="1"/>
    </row>
    <row r="1135" spans="1:216" x14ac:dyDescent="0.3">
      <c r="A1135" s="3"/>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c r="FT1135" s="1"/>
      <c r="FU1135" s="1"/>
      <c r="FV1135" s="1"/>
      <c r="FW1135" s="1"/>
      <c r="FX1135" s="1"/>
      <c r="FY1135" s="1"/>
      <c r="FZ1135" s="1"/>
      <c r="GA1135" s="1"/>
      <c r="GB1135" s="1"/>
      <c r="GC1135" s="1"/>
      <c r="GD1135" s="1"/>
      <c r="GE1135" s="1"/>
      <c r="GF1135" s="1"/>
      <c r="GG1135" s="1"/>
      <c r="GH1135" s="1"/>
      <c r="GI1135" s="1"/>
      <c r="GJ1135" s="1"/>
      <c r="GK1135" s="1"/>
      <c r="GL1135" s="1"/>
      <c r="GM1135" s="1"/>
      <c r="GN1135" s="1"/>
      <c r="GO1135" s="1"/>
      <c r="GP1135" s="1"/>
      <c r="GQ1135" s="1"/>
      <c r="GR1135" s="1"/>
      <c r="GS1135" s="1"/>
      <c r="GT1135" s="1"/>
      <c r="GU1135" s="1"/>
      <c r="GV1135" s="1"/>
      <c r="GW1135" s="1"/>
      <c r="GX1135" s="1"/>
      <c r="GY1135" s="1"/>
      <c r="GZ1135" s="1"/>
      <c r="HA1135" s="1"/>
      <c r="HB1135" s="1"/>
      <c r="HC1135" s="1"/>
      <c r="HD1135" s="1"/>
      <c r="HE1135" s="1"/>
      <c r="HF1135" s="1"/>
      <c r="HG1135" s="1"/>
      <c r="HH1135" s="1"/>
    </row>
    <row r="1136" spans="1:216" x14ac:dyDescent="0.3">
      <c r="A1136" s="3"/>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c r="FT1136" s="1"/>
      <c r="FU1136" s="1"/>
      <c r="FV1136" s="1"/>
      <c r="FW1136" s="1"/>
      <c r="FX1136" s="1"/>
      <c r="FY1136" s="1"/>
      <c r="FZ1136" s="1"/>
      <c r="GA1136" s="1"/>
      <c r="GB1136" s="1"/>
      <c r="GC1136" s="1"/>
      <c r="GD1136" s="1"/>
      <c r="GE1136" s="1"/>
      <c r="GF1136" s="1"/>
      <c r="GG1136" s="1"/>
      <c r="GH1136" s="1"/>
      <c r="GI1136" s="1"/>
      <c r="GJ1136" s="1"/>
      <c r="GK1136" s="1"/>
      <c r="GL1136" s="1"/>
      <c r="GM1136" s="1"/>
      <c r="GN1136" s="1"/>
      <c r="GO1136" s="1"/>
      <c r="GP1136" s="1"/>
      <c r="GQ1136" s="1"/>
      <c r="GR1136" s="1"/>
      <c r="GS1136" s="1"/>
      <c r="GT1136" s="1"/>
      <c r="GU1136" s="1"/>
      <c r="GV1136" s="1"/>
      <c r="GW1136" s="1"/>
      <c r="GX1136" s="1"/>
      <c r="GY1136" s="1"/>
      <c r="GZ1136" s="1"/>
      <c r="HA1136" s="1"/>
      <c r="HB1136" s="1"/>
      <c r="HC1136" s="1"/>
      <c r="HD1136" s="1"/>
      <c r="HE1136" s="1"/>
      <c r="HF1136" s="1"/>
      <c r="HG1136" s="1"/>
      <c r="HH1136" s="1"/>
    </row>
    <row r="1137" spans="1:216" x14ac:dyDescent="0.3">
      <c r="A1137" s="3"/>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c r="FT1137" s="1"/>
      <c r="FU1137" s="1"/>
      <c r="FV1137" s="1"/>
      <c r="FW1137" s="1"/>
      <c r="FX1137" s="1"/>
      <c r="FY1137" s="1"/>
      <c r="FZ1137" s="1"/>
      <c r="GA1137" s="1"/>
      <c r="GB1137" s="1"/>
      <c r="GC1137" s="1"/>
      <c r="GD1137" s="1"/>
      <c r="GE1137" s="1"/>
      <c r="GF1137" s="1"/>
      <c r="GG1137" s="1"/>
      <c r="GH1137" s="1"/>
      <c r="GI1137" s="1"/>
      <c r="GJ1137" s="1"/>
      <c r="GK1137" s="1"/>
      <c r="GL1137" s="1"/>
      <c r="GM1137" s="1"/>
      <c r="GN1137" s="1"/>
      <c r="GO1137" s="1"/>
      <c r="GP1137" s="1"/>
      <c r="GQ1137" s="1"/>
      <c r="GR1137" s="1"/>
      <c r="GS1137" s="1"/>
      <c r="GT1137" s="1"/>
      <c r="GU1137" s="1"/>
      <c r="GV1137" s="1"/>
      <c r="GW1137" s="1"/>
      <c r="GX1137" s="1"/>
      <c r="GY1137" s="1"/>
      <c r="GZ1137" s="1"/>
      <c r="HA1137" s="1"/>
      <c r="HB1137" s="1"/>
      <c r="HC1137" s="1"/>
      <c r="HD1137" s="1"/>
      <c r="HE1137" s="1"/>
      <c r="HF1137" s="1"/>
      <c r="HG1137" s="1"/>
      <c r="HH1137" s="1"/>
    </row>
    <row r="1138" spans="1:216" x14ac:dyDescent="0.3">
      <c r="A1138" s="3"/>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c r="FT1138" s="1"/>
      <c r="FU1138" s="1"/>
      <c r="FV1138" s="1"/>
      <c r="FW1138" s="1"/>
      <c r="FX1138" s="1"/>
      <c r="FY1138" s="1"/>
      <c r="FZ1138" s="1"/>
      <c r="GA1138" s="1"/>
      <c r="GB1138" s="1"/>
      <c r="GC1138" s="1"/>
      <c r="GD1138" s="1"/>
      <c r="GE1138" s="1"/>
      <c r="GF1138" s="1"/>
      <c r="GG1138" s="1"/>
      <c r="GH1138" s="1"/>
      <c r="GI1138" s="1"/>
      <c r="GJ1138" s="1"/>
      <c r="GK1138" s="1"/>
      <c r="GL1138" s="1"/>
      <c r="GM1138" s="1"/>
      <c r="GN1138" s="1"/>
      <c r="GO1138" s="1"/>
      <c r="GP1138" s="1"/>
      <c r="GQ1138" s="1"/>
      <c r="GR1138" s="1"/>
      <c r="GS1138" s="1"/>
      <c r="GT1138" s="1"/>
      <c r="GU1138" s="1"/>
      <c r="GV1138" s="1"/>
      <c r="GW1138" s="1"/>
      <c r="GX1138" s="1"/>
      <c r="GY1138" s="1"/>
      <c r="GZ1138" s="1"/>
      <c r="HA1138" s="1"/>
      <c r="HB1138" s="1"/>
      <c r="HC1138" s="1"/>
      <c r="HD1138" s="1"/>
      <c r="HE1138" s="1"/>
      <c r="HF1138" s="1"/>
      <c r="HG1138" s="1"/>
      <c r="HH1138" s="1"/>
    </row>
    <row r="1139" spans="1:216" x14ac:dyDescent="0.3">
      <c r="A1139" s="3"/>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GS1139" s="1"/>
      <c r="GT1139" s="1"/>
      <c r="GU1139" s="1"/>
      <c r="GV1139" s="1"/>
      <c r="GW1139" s="1"/>
      <c r="GX1139" s="1"/>
      <c r="GY1139" s="1"/>
      <c r="GZ1139" s="1"/>
      <c r="HA1139" s="1"/>
      <c r="HB1139" s="1"/>
      <c r="HC1139" s="1"/>
      <c r="HD1139" s="1"/>
      <c r="HE1139" s="1"/>
      <c r="HF1139" s="1"/>
      <c r="HG1139" s="1"/>
      <c r="HH1139" s="1"/>
    </row>
    <row r="1140" spans="1:216" x14ac:dyDescent="0.3">
      <c r="A1140" s="3"/>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GS1140" s="1"/>
      <c r="GT1140" s="1"/>
      <c r="GU1140" s="1"/>
      <c r="GV1140" s="1"/>
      <c r="GW1140" s="1"/>
      <c r="GX1140" s="1"/>
      <c r="GY1140" s="1"/>
      <c r="GZ1140" s="1"/>
      <c r="HA1140" s="1"/>
      <c r="HB1140" s="1"/>
      <c r="HC1140" s="1"/>
      <c r="HD1140" s="1"/>
      <c r="HE1140" s="1"/>
      <c r="HF1140" s="1"/>
      <c r="HG1140" s="1"/>
      <c r="HH1140" s="1"/>
    </row>
    <row r="1141" spans="1:216" x14ac:dyDescent="0.3">
      <c r="A1141" s="3"/>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c r="FT1141" s="1"/>
      <c r="FU1141" s="1"/>
      <c r="FV1141" s="1"/>
      <c r="FW1141" s="1"/>
      <c r="FX1141" s="1"/>
      <c r="FY1141" s="1"/>
      <c r="FZ1141" s="1"/>
      <c r="GA1141" s="1"/>
      <c r="GB1141" s="1"/>
      <c r="GC1141" s="1"/>
      <c r="GD1141" s="1"/>
      <c r="GE1141" s="1"/>
      <c r="GF1141" s="1"/>
      <c r="GG1141" s="1"/>
      <c r="GH1141" s="1"/>
      <c r="GI1141" s="1"/>
      <c r="GJ1141" s="1"/>
      <c r="GK1141" s="1"/>
      <c r="GL1141" s="1"/>
      <c r="GM1141" s="1"/>
      <c r="GN1141" s="1"/>
      <c r="GO1141" s="1"/>
      <c r="GP1141" s="1"/>
      <c r="GQ1141" s="1"/>
      <c r="GR1141" s="1"/>
      <c r="GS1141" s="1"/>
      <c r="GT1141" s="1"/>
      <c r="GU1141" s="1"/>
      <c r="GV1141" s="1"/>
      <c r="GW1141" s="1"/>
      <c r="GX1141" s="1"/>
      <c r="GY1141" s="1"/>
      <c r="GZ1141" s="1"/>
      <c r="HA1141" s="1"/>
      <c r="HB1141" s="1"/>
      <c r="HC1141" s="1"/>
      <c r="HD1141" s="1"/>
      <c r="HE1141" s="1"/>
      <c r="HF1141" s="1"/>
      <c r="HG1141" s="1"/>
      <c r="HH1141" s="1"/>
    </row>
    <row r="1142" spans="1:216" x14ac:dyDescent="0.3">
      <c r="A1142" s="3"/>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c r="FT1142" s="1"/>
      <c r="FU1142" s="1"/>
      <c r="FV1142" s="1"/>
      <c r="FW1142" s="1"/>
      <c r="FX1142" s="1"/>
      <c r="FY1142" s="1"/>
      <c r="FZ1142" s="1"/>
      <c r="GA1142" s="1"/>
      <c r="GB1142" s="1"/>
      <c r="GC1142" s="1"/>
      <c r="GD1142" s="1"/>
      <c r="GE1142" s="1"/>
      <c r="GF1142" s="1"/>
      <c r="GG1142" s="1"/>
      <c r="GH1142" s="1"/>
      <c r="GI1142" s="1"/>
      <c r="GJ1142" s="1"/>
      <c r="GK1142" s="1"/>
      <c r="GL1142" s="1"/>
      <c r="GM1142" s="1"/>
      <c r="GN1142" s="1"/>
      <c r="GO1142" s="1"/>
      <c r="GP1142" s="1"/>
      <c r="GQ1142" s="1"/>
      <c r="GR1142" s="1"/>
      <c r="GS1142" s="1"/>
      <c r="GT1142" s="1"/>
      <c r="GU1142" s="1"/>
      <c r="GV1142" s="1"/>
      <c r="GW1142" s="1"/>
      <c r="GX1142" s="1"/>
      <c r="GY1142" s="1"/>
      <c r="GZ1142" s="1"/>
      <c r="HA1142" s="1"/>
      <c r="HB1142" s="1"/>
      <c r="HC1142" s="1"/>
      <c r="HD1142" s="1"/>
      <c r="HE1142" s="1"/>
      <c r="HF1142" s="1"/>
      <c r="HG1142" s="1"/>
      <c r="HH1142" s="1"/>
    </row>
    <row r="1143" spans="1:216" x14ac:dyDescent="0.3">
      <c r="A1143" s="3"/>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c r="FT1143" s="1"/>
      <c r="FU1143" s="1"/>
      <c r="FV1143" s="1"/>
      <c r="FW1143" s="1"/>
      <c r="FX1143" s="1"/>
      <c r="FY1143" s="1"/>
      <c r="FZ1143" s="1"/>
      <c r="GA1143" s="1"/>
      <c r="GB1143" s="1"/>
      <c r="GC1143" s="1"/>
      <c r="GD1143" s="1"/>
      <c r="GE1143" s="1"/>
      <c r="GF1143" s="1"/>
      <c r="GG1143" s="1"/>
      <c r="GH1143" s="1"/>
      <c r="GI1143" s="1"/>
      <c r="GJ1143" s="1"/>
      <c r="GK1143" s="1"/>
      <c r="GL1143" s="1"/>
      <c r="GM1143" s="1"/>
      <c r="GN1143" s="1"/>
      <c r="GO1143" s="1"/>
      <c r="GP1143" s="1"/>
      <c r="GQ1143" s="1"/>
      <c r="GR1143" s="1"/>
      <c r="GS1143" s="1"/>
      <c r="GT1143" s="1"/>
      <c r="GU1143" s="1"/>
      <c r="GV1143" s="1"/>
      <c r="GW1143" s="1"/>
      <c r="GX1143" s="1"/>
      <c r="GY1143" s="1"/>
      <c r="GZ1143" s="1"/>
      <c r="HA1143" s="1"/>
      <c r="HB1143" s="1"/>
      <c r="HC1143" s="1"/>
      <c r="HD1143" s="1"/>
      <c r="HE1143" s="1"/>
      <c r="HF1143" s="1"/>
      <c r="HG1143" s="1"/>
      <c r="HH1143" s="1"/>
    </row>
    <row r="1144" spans="1:216" x14ac:dyDescent="0.3">
      <c r="A1144" s="3"/>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c r="FT1144" s="1"/>
      <c r="FU1144" s="1"/>
      <c r="FV1144" s="1"/>
      <c r="FW1144" s="1"/>
      <c r="FX1144" s="1"/>
      <c r="FY1144" s="1"/>
      <c r="FZ1144" s="1"/>
      <c r="GA1144" s="1"/>
      <c r="GB1144" s="1"/>
      <c r="GC1144" s="1"/>
      <c r="GD1144" s="1"/>
      <c r="GE1144" s="1"/>
      <c r="GF1144" s="1"/>
      <c r="GG1144" s="1"/>
      <c r="GH1144" s="1"/>
      <c r="GI1144" s="1"/>
      <c r="GJ1144" s="1"/>
      <c r="GK1144" s="1"/>
      <c r="GL1144" s="1"/>
      <c r="GM1144" s="1"/>
      <c r="GN1144" s="1"/>
      <c r="GO1144" s="1"/>
      <c r="GP1144" s="1"/>
      <c r="GQ1144" s="1"/>
      <c r="GR1144" s="1"/>
      <c r="GS1144" s="1"/>
      <c r="GT1144" s="1"/>
      <c r="GU1144" s="1"/>
      <c r="GV1144" s="1"/>
      <c r="GW1144" s="1"/>
      <c r="GX1144" s="1"/>
      <c r="GY1144" s="1"/>
      <c r="GZ1144" s="1"/>
      <c r="HA1144" s="1"/>
      <c r="HB1144" s="1"/>
      <c r="HC1144" s="1"/>
      <c r="HD1144" s="1"/>
      <c r="HE1144" s="1"/>
      <c r="HF1144" s="1"/>
      <c r="HG1144" s="1"/>
      <c r="HH1144" s="1"/>
    </row>
    <row r="1145" spans="1:216" x14ac:dyDescent="0.3">
      <c r="A1145" s="3"/>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c r="FT1145" s="1"/>
      <c r="FU1145" s="1"/>
      <c r="FV1145" s="1"/>
      <c r="FW1145" s="1"/>
      <c r="FX1145" s="1"/>
      <c r="FY1145" s="1"/>
      <c r="FZ1145" s="1"/>
      <c r="GA1145" s="1"/>
      <c r="GB1145" s="1"/>
      <c r="GC1145" s="1"/>
      <c r="GD1145" s="1"/>
      <c r="GE1145" s="1"/>
      <c r="GF1145" s="1"/>
      <c r="GG1145" s="1"/>
      <c r="GH1145" s="1"/>
      <c r="GI1145" s="1"/>
      <c r="GJ1145" s="1"/>
      <c r="GK1145" s="1"/>
      <c r="GL1145" s="1"/>
      <c r="GM1145" s="1"/>
      <c r="GN1145" s="1"/>
      <c r="GO1145" s="1"/>
      <c r="GP1145" s="1"/>
      <c r="GQ1145" s="1"/>
      <c r="GR1145" s="1"/>
      <c r="GS1145" s="1"/>
      <c r="GT1145" s="1"/>
      <c r="GU1145" s="1"/>
      <c r="GV1145" s="1"/>
      <c r="GW1145" s="1"/>
      <c r="GX1145" s="1"/>
      <c r="GY1145" s="1"/>
      <c r="GZ1145" s="1"/>
      <c r="HA1145" s="1"/>
      <c r="HB1145" s="1"/>
      <c r="HC1145" s="1"/>
      <c r="HD1145" s="1"/>
      <c r="HE1145" s="1"/>
      <c r="HF1145" s="1"/>
      <c r="HG1145" s="1"/>
      <c r="HH1145" s="1"/>
    </row>
    <row r="1146" spans="1:216" x14ac:dyDescent="0.3">
      <c r="A1146" s="3"/>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c r="GY1146" s="1"/>
      <c r="GZ1146" s="1"/>
      <c r="HA1146" s="1"/>
      <c r="HB1146" s="1"/>
      <c r="HC1146" s="1"/>
      <c r="HD1146" s="1"/>
      <c r="HE1146" s="1"/>
      <c r="HF1146" s="1"/>
      <c r="HG1146" s="1"/>
      <c r="HH1146" s="1"/>
    </row>
    <row r="1147" spans="1:216" x14ac:dyDescent="0.3">
      <c r="A1147" s="3"/>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c r="FT1147" s="1"/>
      <c r="FU1147" s="1"/>
      <c r="FV1147" s="1"/>
      <c r="FW1147" s="1"/>
      <c r="FX1147" s="1"/>
      <c r="FY1147" s="1"/>
      <c r="FZ1147" s="1"/>
      <c r="GA1147" s="1"/>
      <c r="GB1147" s="1"/>
      <c r="GC1147" s="1"/>
      <c r="GD1147" s="1"/>
      <c r="GE1147" s="1"/>
      <c r="GF1147" s="1"/>
      <c r="GG1147" s="1"/>
      <c r="GH1147" s="1"/>
      <c r="GI1147" s="1"/>
      <c r="GJ1147" s="1"/>
      <c r="GK1147" s="1"/>
      <c r="GL1147" s="1"/>
      <c r="GM1147" s="1"/>
      <c r="GN1147" s="1"/>
      <c r="GO1147" s="1"/>
      <c r="GP1147" s="1"/>
      <c r="GQ1147" s="1"/>
      <c r="GR1147" s="1"/>
      <c r="GS1147" s="1"/>
      <c r="GT1147" s="1"/>
      <c r="GU1147" s="1"/>
      <c r="GV1147" s="1"/>
      <c r="GW1147" s="1"/>
      <c r="GX1147" s="1"/>
      <c r="GY1147" s="1"/>
      <c r="GZ1147" s="1"/>
      <c r="HA1147" s="1"/>
      <c r="HB1147" s="1"/>
      <c r="HC1147" s="1"/>
      <c r="HD1147" s="1"/>
      <c r="HE1147" s="1"/>
      <c r="HF1147" s="1"/>
      <c r="HG1147" s="1"/>
      <c r="HH1147" s="1"/>
    </row>
    <row r="1148" spans="1:216" x14ac:dyDescent="0.3">
      <c r="A1148" s="3"/>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GS1148" s="1"/>
      <c r="GT1148" s="1"/>
      <c r="GU1148" s="1"/>
      <c r="GV1148" s="1"/>
      <c r="GW1148" s="1"/>
      <c r="GX1148" s="1"/>
      <c r="GY1148" s="1"/>
      <c r="GZ1148" s="1"/>
      <c r="HA1148" s="1"/>
      <c r="HB1148" s="1"/>
      <c r="HC1148" s="1"/>
      <c r="HD1148" s="1"/>
      <c r="HE1148" s="1"/>
      <c r="HF1148" s="1"/>
      <c r="HG1148" s="1"/>
      <c r="HH1148" s="1"/>
    </row>
    <row r="1149" spans="1:216" x14ac:dyDescent="0.3">
      <c r="A1149" s="3"/>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GS1149" s="1"/>
      <c r="GT1149" s="1"/>
      <c r="GU1149" s="1"/>
      <c r="GV1149" s="1"/>
      <c r="GW1149" s="1"/>
      <c r="GX1149" s="1"/>
      <c r="GY1149" s="1"/>
      <c r="GZ1149" s="1"/>
      <c r="HA1149" s="1"/>
      <c r="HB1149" s="1"/>
      <c r="HC1149" s="1"/>
      <c r="HD1149" s="1"/>
      <c r="HE1149" s="1"/>
      <c r="HF1149" s="1"/>
      <c r="HG1149" s="1"/>
      <c r="HH1149" s="1"/>
    </row>
    <row r="1150" spans="1:216" x14ac:dyDescent="0.3">
      <c r="A1150" s="3"/>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c r="FT1150" s="1"/>
      <c r="FU1150" s="1"/>
      <c r="FV1150" s="1"/>
      <c r="FW1150" s="1"/>
      <c r="FX1150" s="1"/>
      <c r="FY1150" s="1"/>
      <c r="FZ1150" s="1"/>
      <c r="GA1150" s="1"/>
      <c r="GB1150" s="1"/>
      <c r="GC1150" s="1"/>
      <c r="GD1150" s="1"/>
      <c r="GE1150" s="1"/>
      <c r="GF1150" s="1"/>
      <c r="GG1150" s="1"/>
      <c r="GH1150" s="1"/>
      <c r="GI1150" s="1"/>
      <c r="GJ1150" s="1"/>
      <c r="GK1150" s="1"/>
      <c r="GL1150" s="1"/>
      <c r="GM1150" s="1"/>
      <c r="GN1150" s="1"/>
      <c r="GO1150" s="1"/>
      <c r="GP1150" s="1"/>
      <c r="GQ1150" s="1"/>
      <c r="GR1150" s="1"/>
      <c r="GS1150" s="1"/>
      <c r="GT1150" s="1"/>
      <c r="GU1150" s="1"/>
      <c r="GV1150" s="1"/>
      <c r="GW1150" s="1"/>
      <c r="GX1150" s="1"/>
      <c r="GY1150" s="1"/>
      <c r="GZ1150" s="1"/>
      <c r="HA1150" s="1"/>
      <c r="HB1150" s="1"/>
      <c r="HC1150" s="1"/>
      <c r="HD1150" s="1"/>
      <c r="HE1150" s="1"/>
      <c r="HF1150" s="1"/>
      <c r="HG1150" s="1"/>
      <c r="HH1150" s="1"/>
    </row>
    <row r="1151" spans="1:216" x14ac:dyDescent="0.3">
      <c r="A1151" s="3"/>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c r="FT1151" s="1"/>
      <c r="FU1151" s="1"/>
      <c r="FV1151" s="1"/>
      <c r="FW1151" s="1"/>
      <c r="FX1151" s="1"/>
      <c r="FY1151" s="1"/>
      <c r="FZ1151" s="1"/>
      <c r="GA1151" s="1"/>
      <c r="GB1151" s="1"/>
      <c r="GC1151" s="1"/>
      <c r="GD1151" s="1"/>
      <c r="GE1151" s="1"/>
      <c r="GF1151" s="1"/>
      <c r="GG1151" s="1"/>
      <c r="GH1151" s="1"/>
      <c r="GI1151" s="1"/>
      <c r="GJ1151" s="1"/>
      <c r="GK1151" s="1"/>
      <c r="GL1151" s="1"/>
      <c r="GM1151" s="1"/>
      <c r="GN1151" s="1"/>
      <c r="GO1151" s="1"/>
      <c r="GP1151" s="1"/>
      <c r="GQ1151" s="1"/>
      <c r="GR1151" s="1"/>
      <c r="GS1151" s="1"/>
      <c r="GT1151" s="1"/>
      <c r="GU1151" s="1"/>
      <c r="GV1151" s="1"/>
      <c r="GW1151" s="1"/>
      <c r="GX1151" s="1"/>
      <c r="GY1151" s="1"/>
      <c r="GZ1151" s="1"/>
      <c r="HA1151" s="1"/>
      <c r="HB1151" s="1"/>
      <c r="HC1151" s="1"/>
      <c r="HD1151" s="1"/>
      <c r="HE1151" s="1"/>
      <c r="HF1151" s="1"/>
      <c r="HG1151" s="1"/>
      <c r="HH1151" s="1"/>
    </row>
    <row r="1152" spans="1:216" x14ac:dyDescent="0.3">
      <c r="A1152" s="3"/>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c r="FT1152" s="1"/>
      <c r="FU1152" s="1"/>
      <c r="FV1152" s="1"/>
      <c r="FW1152" s="1"/>
      <c r="FX1152" s="1"/>
      <c r="FY1152" s="1"/>
      <c r="FZ1152" s="1"/>
      <c r="GA1152" s="1"/>
      <c r="GB1152" s="1"/>
      <c r="GC1152" s="1"/>
      <c r="GD1152" s="1"/>
      <c r="GE1152" s="1"/>
      <c r="GF1152" s="1"/>
      <c r="GG1152" s="1"/>
      <c r="GH1152" s="1"/>
      <c r="GI1152" s="1"/>
      <c r="GJ1152" s="1"/>
      <c r="GK1152" s="1"/>
      <c r="GL1152" s="1"/>
      <c r="GM1152" s="1"/>
      <c r="GN1152" s="1"/>
      <c r="GO1152" s="1"/>
      <c r="GP1152" s="1"/>
      <c r="GQ1152" s="1"/>
      <c r="GR1152" s="1"/>
      <c r="GS1152" s="1"/>
      <c r="GT1152" s="1"/>
      <c r="GU1152" s="1"/>
      <c r="GV1152" s="1"/>
      <c r="GW1152" s="1"/>
      <c r="GX1152" s="1"/>
      <c r="GY1152" s="1"/>
      <c r="GZ1152" s="1"/>
      <c r="HA1152" s="1"/>
      <c r="HB1152" s="1"/>
      <c r="HC1152" s="1"/>
      <c r="HD1152" s="1"/>
      <c r="HE1152" s="1"/>
      <c r="HF1152" s="1"/>
      <c r="HG1152" s="1"/>
      <c r="HH1152" s="1"/>
    </row>
    <row r="1153" spans="1:216" x14ac:dyDescent="0.3">
      <c r="A1153" s="3"/>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c r="FT1153" s="1"/>
      <c r="FU1153" s="1"/>
      <c r="FV1153" s="1"/>
      <c r="FW1153" s="1"/>
      <c r="FX1153" s="1"/>
      <c r="FY1153" s="1"/>
      <c r="FZ1153" s="1"/>
      <c r="GA1153" s="1"/>
      <c r="GB1153" s="1"/>
      <c r="GC1153" s="1"/>
      <c r="GD1153" s="1"/>
      <c r="GE1153" s="1"/>
      <c r="GF1153" s="1"/>
      <c r="GG1153" s="1"/>
      <c r="GH1153" s="1"/>
      <c r="GI1153" s="1"/>
      <c r="GJ1153" s="1"/>
      <c r="GK1153" s="1"/>
      <c r="GL1153" s="1"/>
      <c r="GM1153" s="1"/>
      <c r="GN1153" s="1"/>
      <c r="GO1153" s="1"/>
      <c r="GP1153" s="1"/>
      <c r="GQ1153" s="1"/>
      <c r="GR1153" s="1"/>
      <c r="GS1153" s="1"/>
      <c r="GT1153" s="1"/>
      <c r="GU1153" s="1"/>
      <c r="GV1153" s="1"/>
      <c r="GW1153" s="1"/>
      <c r="GX1153" s="1"/>
      <c r="GY1153" s="1"/>
      <c r="GZ1153" s="1"/>
      <c r="HA1153" s="1"/>
      <c r="HB1153" s="1"/>
      <c r="HC1153" s="1"/>
      <c r="HD1153" s="1"/>
      <c r="HE1153" s="1"/>
      <c r="HF1153" s="1"/>
      <c r="HG1153" s="1"/>
      <c r="HH1153" s="1"/>
    </row>
    <row r="1154" spans="1:216" x14ac:dyDescent="0.3">
      <c r="A1154" s="3"/>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c r="FT1154" s="1"/>
      <c r="FU1154" s="1"/>
      <c r="FV1154" s="1"/>
      <c r="FW1154" s="1"/>
      <c r="FX1154" s="1"/>
      <c r="FY1154" s="1"/>
      <c r="FZ1154" s="1"/>
      <c r="GA1154" s="1"/>
      <c r="GB1154" s="1"/>
      <c r="GC1154" s="1"/>
      <c r="GD1154" s="1"/>
      <c r="GE1154" s="1"/>
      <c r="GF1154" s="1"/>
      <c r="GG1154" s="1"/>
      <c r="GH1154" s="1"/>
      <c r="GI1154" s="1"/>
      <c r="GJ1154" s="1"/>
      <c r="GK1154" s="1"/>
      <c r="GL1154" s="1"/>
      <c r="GM1154" s="1"/>
      <c r="GN1154" s="1"/>
      <c r="GO1154" s="1"/>
      <c r="GP1154" s="1"/>
      <c r="GQ1154" s="1"/>
      <c r="GR1154" s="1"/>
      <c r="GS1154" s="1"/>
      <c r="GT1154" s="1"/>
      <c r="GU1154" s="1"/>
      <c r="GV1154" s="1"/>
      <c r="GW1154" s="1"/>
      <c r="GX1154" s="1"/>
      <c r="GY1154" s="1"/>
      <c r="GZ1154" s="1"/>
      <c r="HA1154" s="1"/>
      <c r="HB1154" s="1"/>
      <c r="HC1154" s="1"/>
      <c r="HD1154" s="1"/>
      <c r="HE1154" s="1"/>
      <c r="HF1154" s="1"/>
      <c r="HG1154" s="1"/>
      <c r="HH1154" s="1"/>
    </row>
    <row r="1155" spans="1:216" x14ac:dyDescent="0.3">
      <c r="A1155" s="3"/>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c r="FT1155" s="1"/>
      <c r="FU1155" s="1"/>
      <c r="FV1155" s="1"/>
      <c r="FW1155" s="1"/>
      <c r="FX1155" s="1"/>
      <c r="FY1155" s="1"/>
      <c r="FZ1155" s="1"/>
      <c r="GA1155" s="1"/>
      <c r="GB1155" s="1"/>
      <c r="GC1155" s="1"/>
      <c r="GD1155" s="1"/>
      <c r="GE1155" s="1"/>
      <c r="GF1155" s="1"/>
      <c r="GG1155" s="1"/>
      <c r="GH1155" s="1"/>
      <c r="GI1155" s="1"/>
      <c r="GJ1155" s="1"/>
      <c r="GK1155" s="1"/>
      <c r="GL1155" s="1"/>
      <c r="GM1155" s="1"/>
      <c r="GN1155" s="1"/>
      <c r="GO1155" s="1"/>
      <c r="GP1155" s="1"/>
      <c r="GQ1155" s="1"/>
      <c r="GR1155" s="1"/>
      <c r="GS1155" s="1"/>
      <c r="GT1155" s="1"/>
      <c r="GU1155" s="1"/>
      <c r="GV1155" s="1"/>
      <c r="GW1155" s="1"/>
      <c r="GX1155" s="1"/>
      <c r="GY1155" s="1"/>
      <c r="GZ1155" s="1"/>
      <c r="HA1155" s="1"/>
      <c r="HB1155" s="1"/>
      <c r="HC1155" s="1"/>
      <c r="HD1155" s="1"/>
      <c r="HE1155" s="1"/>
      <c r="HF1155" s="1"/>
      <c r="HG1155" s="1"/>
      <c r="HH1155" s="1"/>
    </row>
    <row r="1156" spans="1:216" x14ac:dyDescent="0.3">
      <c r="A1156" s="3"/>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c r="FT1156" s="1"/>
      <c r="FU1156" s="1"/>
      <c r="FV1156" s="1"/>
      <c r="FW1156" s="1"/>
      <c r="FX1156" s="1"/>
      <c r="FY1156" s="1"/>
      <c r="FZ1156" s="1"/>
      <c r="GA1156" s="1"/>
      <c r="GB1156" s="1"/>
      <c r="GC1156" s="1"/>
      <c r="GD1156" s="1"/>
      <c r="GE1156" s="1"/>
      <c r="GF1156" s="1"/>
      <c r="GG1156" s="1"/>
      <c r="GH1156" s="1"/>
      <c r="GI1156" s="1"/>
      <c r="GJ1156" s="1"/>
      <c r="GK1156" s="1"/>
      <c r="GL1156" s="1"/>
      <c r="GM1156" s="1"/>
      <c r="GN1156" s="1"/>
      <c r="GO1156" s="1"/>
      <c r="GP1156" s="1"/>
      <c r="GQ1156" s="1"/>
      <c r="GR1156" s="1"/>
      <c r="GS1156" s="1"/>
      <c r="GT1156" s="1"/>
      <c r="GU1156" s="1"/>
      <c r="GV1156" s="1"/>
      <c r="GW1156" s="1"/>
      <c r="GX1156" s="1"/>
      <c r="GY1156" s="1"/>
      <c r="GZ1156" s="1"/>
      <c r="HA1156" s="1"/>
      <c r="HB1156" s="1"/>
      <c r="HC1156" s="1"/>
      <c r="HD1156" s="1"/>
      <c r="HE1156" s="1"/>
      <c r="HF1156" s="1"/>
      <c r="HG1156" s="1"/>
      <c r="HH1156" s="1"/>
    </row>
    <row r="1157" spans="1:216" x14ac:dyDescent="0.3">
      <c r="A1157" s="3"/>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c r="FT1157" s="1"/>
      <c r="FU1157" s="1"/>
      <c r="FV1157" s="1"/>
      <c r="FW1157" s="1"/>
      <c r="FX1157" s="1"/>
      <c r="FY1157" s="1"/>
      <c r="FZ1157" s="1"/>
      <c r="GA1157" s="1"/>
      <c r="GB1157" s="1"/>
      <c r="GC1157" s="1"/>
      <c r="GD1157" s="1"/>
      <c r="GE1157" s="1"/>
      <c r="GF1157" s="1"/>
      <c r="GG1157" s="1"/>
      <c r="GH1157" s="1"/>
      <c r="GI1157" s="1"/>
      <c r="GJ1157" s="1"/>
      <c r="GK1157" s="1"/>
      <c r="GL1157" s="1"/>
      <c r="GM1157" s="1"/>
      <c r="GN1157" s="1"/>
      <c r="GO1157" s="1"/>
      <c r="GP1157" s="1"/>
      <c r="GQ1157" s="1"/>
      <c r="GR1157" s="1"/>
      <c r="GS1157" s="1"/>
      <c r="GT1157" s="1"/>
      <c r="GU1157" s="1"/>
      <c r="GV1157" s="1"/>
      <c r="GW1157" s="1"/>
      <c r="GX1157" s="1"/>
      <c r="GY1157" s="1"/>
      <c r="GZ1157" s="1"/>
      <c r="HA1157" s="1"/>
      <c r="HB1157" s="1"/>
      <c r="HC1157" s="1"/>
      <c r="HD1157" s="1"/>
      <c r="HE1157" s="1"/>
      <c r="HF1157" s="1"/>
      <c r="HG1157" s="1"/>
      <c r="HH1157" s="1"/>
    </row>
    <row r="1158" spans="1:216" x14ac:dyDescent="0.3">
      <c r="A1158" s="3"/>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c r="FT1158" s="1"/>
      <c r="FU1158" s="1"/>
      <c r="FV1158" s="1"/>
      <c r="FW1158" s="1"/>
      <c r="FX1158" s="1"/>
      <c r="FY1158" s="1"/>
      <c r="FZ1158" s="1"/>
      <c r="GA1158" s="1"/>
      <c r="GB1158" s="1"/>
      <c r="GC1158" s="1"/>
      <c r="GD1158" s="1"/>
      <c r="GE1158" s="1"/>
      <c r="GF1158" s="1"/>
      <c r="GG1158" s="1"/>
      <c r="GH1158" s="1"/>
      <c r="GI1158" s="1"/>
      <c r="GJ1158" s="1"/>
      <c r="GK1158" s="1"/>
      <c r="GL1158" s="1"/>
      <c r="GM1158" s="1"/>
      <c r="GN1158" s="1"/>
      <c r="GO1158" s="1"/>
      <c r="GP1158" s="1"/>
      <c r="GQ1158" s="1"/>
      <c r="GR1158" s="1"/>
      <c r="GS1158" s="1"/>
      <c r="GT1158" s="1"/>
      <c r="GU1158" s="1"/>
      <c r="GV1158" s="1"/>
      <c r="GW1158" s="1"/>
      <c r="GX1158" s="1"/>
      <c r="GY1158" s="1"/>
      <c r="GZ1158" s="1"/>
      <c r="HA1158" s="1"/>
      <c r="HB1158" s="1"/>
      <c r="HC1158" s="1"/>
      <c r="HD1158" s="1"/>
      <c r="HE1158" s="1"/>
      <c r="HF1158" s="1"/>
      <c r="HG1158" s="1"/>
      <c r="HH1158" s="1"/>
    </row>
    <row r="1159" spans="1:216" x14ac:dyDescent="0.3">
      <c r="A1159" s="3"/>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c r="FT1159" s="1"/>
      <c r="FU1159" s="1"/>
      <c r="FV1159" s="1"/>
      <c r="FW1159" s="1"/>
      <c r="FX1159" s="1"/>
      <c r="FY1159" s="1"/>
      <c r="FZ1159" s="1"/>
      <c r="GA1159" s="1"/>
      <c r="GB1159" s="1"/>
      <c r="GC1159" s="1"/>
      <c r="GD1159" s="1"/>
      <c r="GE1159" s="1"/>
      <c r="GF1159" s="1"/>
      <c r="GG1159" s="1"/>
      <c r="GH1159" s="1"/>
      <c r="GI1159" s="1"/>
      <c r="GJ1159" s="1"/>
      <c r="GK1159" s="1"/>
      <c r="GL1159" s="1"/>
      <c r="GM1159" s="1"/>
      <c r="GN1159" s="1"/>
      <c r="GO1159" s="1"/>
      <c r="GP1159" s="1"/>
      <c r="GQ1159" s="1"/>
      <c r="GR1159" s="1"/>
      <c r="GS1159" s="1"/>
      <c r="GT1159" s="1"/>
      <c r="GU1159" s="1"/>
      <c r="GV1159" s="1"/>
      <c r="GW1159" s="1"/>
      <c r="GX1159" s="1"/>
      <c r="GY1159" s="1"/>
      <c r="GZ1159" s="1"/>
      <c r="HA1159" s="1"/>
      <c r="HB1159" s="1"/>
      <c r="HC1159" s="1"/>
      <c r="HD1159" s="1"/>
      <c r="HE1159" s="1"/>
      <c r="HF1159" s="1"/>
      <c r="HG1159" s="1"/>
      <c r="HH1159" s="1"/>
    </row>
    <row r="1160" spans="1:216" x14ac:dyDescent="0.3">
      <c r="A1160" s="3"/>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c r="FT1160" s="1"/>
      <c r="FU1160" s="1"/>
      <c r="FV1160" s="1"/>
      <c r="FW1160" s="1"/>
      <c r="FX1160" s="1"/>
      <c r="FY1160" s="1"/>
      <c r="FZ1160" s="1"/>
      <c r="GA1160" s="1"/>
      <c r="GB1160" s="1"/>
      <c r="GC1160" s="1"/>
      <c r="GD1160" s="1"/>
      <c r="GE1160" s="1"/>
      <c r="GF1160" s="1"/>
      <c r="GG1160" s="1"/>
      <c r="GH1160" s="1"/>
      <c r="GI1160" s="1"/>
      <c r="GJ1160" s="1"/>
      <c r="GK1160" s="1"/>
      <c r="GL1160" s="1"/>
      <c r="GM1160" s="1"/>
      <c r="GN1160" s="1"/>
      <c r="GO1160" s="1"/>
      <c r="GP1160" s="1"/>
      <c r="GQ1160" s="1"/>
      <c r="GR1160" s="1"/>
      <c r="GS1160" s="1"/>
      <c r="GT1160" s="1"/>
      <c r="GU1160" s="1"/>
      <c r="GV1160" s="1"/>
      <c r="GW1160" s="1"/>
      <c r="GX1160" s="1"/>
      <c r="GY1160" s="1"/>
      <c r="GZ1160" s="1"/>
      <c r="HA1160" s="1"/>
      <c r="HB1160" s="1"/>
      <c r="HC1160" s="1"/>
      <c r="HD1160" s="1"/>
      <c r="HE1160" s="1"/>
      <c r="HF1160" s="1"/>
      <c r="HG1160" s="1"/>
      <c r="HH1160" s="1"/>
    </row>
    <row r="1161" spans="1:216" x14ac:dyDescent="0.3">
      <c r="A1161" s="3"/>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c r="FT1161" s="1"/>
      <c r="FU1161" s="1"/>
      <c r="FV1161" s="1"/>
      <c r="FW1161" s="1"/>
      <c r="FX1161" s="1"/>
      <c r="FY1161" s="1"/>
      <c r="FZ1161" s="1"/>
      <c r="GA1161" s="1"/>
      <c r="GB1161" s="1"/>
      <c r="GC1161" s="1"/>
      <c r="GD1161" s="1"/>
      <c r="GE1161" s="1"/>
      <c r="GF1161" s="1"/>
      <c r="GG1161" s="1"/>
      <c r="GH1161" s="1"/>
      <c r="GI1161" s="1"/>
      <c r="GJ1161" s="1"/>
      <c r="GK1161" s="1"/>
      <c r="GL1161" s="1"/>
      <c r="GM1161" s="1"/>
      <c r="GN1161" s="1"/>
      <c r="GO1161" s="1"/>
      <c r="GP1161" s="1"/>
      <c r="GQ1161" s="1"/>
      <c r="GR1161" s="1"/>
      <c r="GS1161" s="1"/>
      <c r="GT1161" s="1"/>
      <c r="GU1161" s="1"/>
      <c r="GV1161" s="1"/>
      <c r="GW1161" s="1"/>
      <c r="GX1161" s="1"/>
      <c r="GY1161" s="1"/>
      <c r="GZ1161" s="1"/>
      <c r="HA1161" s="1"/>
      <c r="HB1161" s="1"/>
      <c r="HC1161" s="1"/>
      <c r="HD1161" s="1"/>
      <c r="HE1161" s="1"/>
      <c r="HF1161" s="1"/>
      <c r="HG1161" s="1"/>
      <c r="HH1161" s="1"/>
    </row>
    <row r="1162" spans="1:216" x14ac:dyDescent="0.3">
      <c r="A1162" s="3"/>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c r="FT1162" s="1"/>
      <c r="FU1162" s="1"/>
      <c r="FV1162" s="1"/>
      <c r="FW1162" s="1"/>
      <c r="FX1162" s="1"/>
      <c r="FY1162" s="1"/>
      <c r="FZ1162" s="1"/>
      <c r="GA1162" s="1"/>
      <c r="GB1162" s="1"/>
      <c r="GC1162" s="1"/>
      <c r="GD1162" s="1"/>
      <c r="GE1162" s="1"/>
      <c r="GF1162" s="1"/>
      <c r="GG1162" s="1"/>
      <c r="GH1162" s="1"/>
      <c r="GI1162" s="1"/>
      <c r="GJ1162" s="1"/>
      <c r="GK1162" s="1"/>
      <c r="GL1162" s="1"/>
      <c r="GM1162" s="1"/>
      <c r="GN1162" s="1"/>
      <c r="GO1162" s="1"/>
      <c r="GP1162" s="1"/>
      <c r="GQ1162" s="1"/>
      <c r="GR1162" s="1"/>
      <c r="GS1162" s="1"/>
      <c r="GT1162" s="1"/>
      <c r="GU1162" s="1"/>
      <c r="GV1162" s="1"/>
      <c r="GW1162" s="1"/>
      <c r="GX1162" s="1"/>
      <c r="GY1162" s="1"/>
      <c r="GZ1162" s="1"/>
      <c r="HA1162" s="1"/>
      <c r="HB1162" s="1"/>
      <c r="HC1162" s="1"/>
      <c r="HD1162" s="1"/>
      <c r="HE1162" s="1"/>
      <c r="HF1162" s="1"/>
      <c r="HG1162" s="1"/>
      <c r="HH1162" s="1"/>
    </row>
    <row r="1163" spans="1:216" x14ac:dyDescent="0.3">
      <c r="A1163" s="3"/>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c r="FT1163" s="1"/>
      <c r="FU1163" s="1"/>
      <c r="FV1163" s="1"/>
      <c r="FW1163" s="1"/>
      <c r="FX1163" s="1"/>
      <c r="FY1163" s="1"/>
      <c r="FZ1163" s="1"/>
      <c r="GA1163" s="1"/>
      <c r="GB1163" s="1"/>
      <c r="GC1163" s="1"/>
      <c r="GD1163" s="1"/>
      <c r="GE1163" s="1"/>
      <c r="GF1163" s="1"/>
      <c r="GG1163" s="1"/>
      <c r="GH1163" s="1"/>
      <c r="GI1163" s="1"/>
      <c r="GJ1163" s="1"/>
      <c r="GK1163" s="1"/>
      <c r="GL1163" s="1"/>
      <c r="GM1163" s="1"/>
      <c r="GN1163" s="1"/>
      <c r="GO1163" s="1"/>
      <c r="GP1163" s="1"/>
      <c r="GQ1163" s="1"/>
      <c r="GR1163" s="1"/>
      <c r="GS1163" s="1"/>
      <c r="GT1163" s="1"/>
      <c r="GU1163" s="1"/>
      <c r="GV1163" s="1"/>
      <c r="GW1163" s="1"/>
      <c r="GX1163" s="1"/>
      <c r="GY1163" s="1"/>
      <c r="GZ1163" s="1"/>
      <c r="HA1163" s="1"/>
      <c r="HB1163" s="1"/>
      <c r="HC1163" s="1"/>
      <c r="HD1163" s="1"/>
      <c r="HE1163" s="1"/>
      <c r="HF1163" s="1"/>
      <c r="HG1163" s="1"/>
      <c r="HH1163" s="1"/>
    </row>
    <row r="1164" spans="1:216" x14ac:dyDescent="0.3">
      <c r="A1164" s="3"/>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c r="FT1164" s="1"/>
      <c r="FU1164" s="1"/>
      <c r="FV1164" s="1"/>
      <c r="FW1164" s="1"/>
      <c r="FX1164" s="1"/>
      <c r="FY1164" s="1"/>
      <c r="FZ1164" s="1"/>
      <c r="GA1164" s="1"/>
      <c r="GB1164" s="1"/>
      <c r="GC1164" s="1"/>
      <c r="GD1164" s="1"/>
      <c r="GE1164" s="1"/>
      <c r="GF1164" s="1"/>
      <c r="GG1164" s="1"/>
      <c r="GH1164" s="1"/>
      <c r="GI1164" s="1"/>
      <c r="GJ1164" s="1"/>
      <c r="GK1164" s="1"/>
      <c r="GL1164" s="1"/>
      <c r="GM1164" s="1"/>
      <c r="GN1164" s="1"/>
      <c r="GO1164" s="1"/>
      <c r="GP1164" s="1"/>
      <c r="GQ1164" s="1"/>
      <c r="GR1164" s="1"/>
      <c r="GS1164" s="1"/>
      <c r="GT1164" s="1"/>
      <c r="GU1164" s="1"/>
      <c r="GV1164" s="1"/>
      <c r="GW1164" s="1"/>
      <c r="GX1164" s="1"/>
      <c r="GY1164" s="1"/>
      <c r="GZ1164" s="1"/>
      <c r="HA1164" s="1"/>
      <c r="HB1164" s="1"/>
      <c r="HC1164" s="1"/>
      <c r="HD1164" s="1"/>
      <c r="HE1164" s="1"/>
      <c r="HF1164" s="1"/>
      <c r="HG1164" s="1"/>
      <c r="HH1164" s="1"/>
    </row>
    <row r="1165" spans="1:216" x14ac:dyDescent="0.3">
      <c r="A1165" s="3"/>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c r="FT1165" s="1"/>
      <c r="FU1165" s="1"/>
      <c r="FV1165" s="1"/>
      <c r="FW1165" s="1"/>
      <c r="FX1165" s="1"/>
      <c r="FY1165" s="1"/>
      <c r="FZ1165" s="1"/>
      <c r="GA1165" s="1"/>
      <c r="GB1165" s="1"/>
      <c r="GC1165" s="1"/>
      <c r="GD1165" s="1"/>
      <c r="GE1165" s="1"/>
      <c r="GF1165" s="1"/>
      <c r="GG1165" s="1"/>
      <c r="GH1165" s="1"/>
      <c r="GI1165" s="1"/>
      <c r="GJ1165" s="1"/>
      <c r="GK1165" s="1"/>
      <c r="GL1165" s="1"/>
      <c r="GM1165" s="1"/>
      <c r="GN1165" s="1"/>
      <c r="GO1165" s="1"/>
      <c r="GP1165" s="1"/>
      <c r="GQ1165" s="1"/>
      <c r="GR1165" s="1"/>
      <c r="GS1165" s="1"/>
      <c r="GT1165" s="1"/>
      <c r="GU1165" s="1"/>
      <c r="GV1165" s="1"/>
      <c r="GW1165" s="1"/>
      <c r="GX1165" s="1"/>
      <c r="GY1165" s="1"/>
      <c r="GZ1165" s="1"/>
      <c r="HA1165" s="1"/>
      <c r="HB1165" s="1"/>
      <c r="HC1165" s="1"/>
      <c r="HD1165" s="1"/>
      <c r="HE1165" s="1"/>
      <c r="HF1165" s="1"/>
      <c r="HG1165" s="1"/>
      <c r="HH1165" s="1"/>
    </row>
    <row r="1166" spans="1:216" x14ac:dyDescent="0.3">
      <c r="A1166" s="3"/>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c r="FT1166" s="1"/>
      <c r="FU1166" s="1"/>
      <c r="FV1166" s="1"/>
      <c r="FW1166" s="1"/>
      <c r="FX1166" s="1"/>
      <c r="FY1166" s="1"/>
      <c r="FZ1166" s="1"/>
      <c r="GA1166" s="1"/>
      <c r="GB1166" s="1"/>
      <c r="GC1166" s="1"/>
      <c r="GD1166" s="1"/>
      <c r="GE1166" s="1"/>
      <c r="GF1166" s="1"/>
      <c r="GG1166" s="1"/>
      <c r="GH1166" s="1"/>
      <c r="GI1166" s="1"/>
      <c r="GJ1166" s="1"/>
      <c r="GK1166" s="1"/>
      <c r="GL1166" s="1"/>
      <c r="GM1166" s="1"/>
      <c r="GN1166" s="1"/>
      <c r="GO1166" s="1"/>
      <c r="GP1166" s="1"/>
      <c r="GQ1166" s="1"/>
      <c r="GR1166" s="1"/>
      <c r="GS1166" s="1"/>
      <c r="GT1166" s="1"/>
      <c r="GU1166" s="1"/>
      <c r="GV1166" s="1"/>
      <c r="GW1166" s="1"/>
      <c r="GX1166" s="1"/>
      <c r="GY1166" s="1"/>
      <c r="GZ1166" s="1"/>
      <c r="HA1166" s="1"/>
      <c r="HB1166" s="1"/>
      <c r="HC1166" s="1"/>
      <c r="HD1166" s="1"/>
      <c r="HE1166" s="1"/>
      <c r="HF1166" s="1"/>
      <c r="HG1166" s="1"/>
      <c r="HH1166" s="1"/>
    </row>
    <row r="1167" spans="1:216" x14ac:dyDescent="0.3">
      <c r="A1167" s="3"/>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c r="FT1167" s="1"/>
      <c r="FU1167" s="1"/>
      <c r="FV1167" s="1"/>
      <c r="FW1167" s="1"/>
      <c r="FX1167" s="1"/>
      <c r="FY1167" s="1"/>
      <c r="FZ1167" s="1"/>
      <c r="GA1167" s="1"/>
      <c r="GB1167" s="1"/>
      <c r="GC1167" s="1"/>
      <c r="GD1167" s="1"/>
      <c r="GE1167" s="1"/>
      <c r="GF1167" s="1"/>
      <c r="GG1167" s="1"/>
      <c r="GH1167" s="1"/>
      <c r="GI1167" s="1"/>
      <c r="GJ1167" s="1"/>
      <c r="GK1167" s="1"/>
      <c r="GL1167" s="1"/>
      <c r="GM1167" s="1"/>
      <c r="GN1167" s="1"/>
      <c r="GO1167" s="1"/>
      <c r="GP1167" s="1"/>
      <c r="GQ1167" s="1"/>
      <c r="GR1167" s="1"/>
      <c r="GS1167" s="1"/>
      <c r="GT1167" s="1"/>
      <c r="GU1167" s="1"/>
      <c r="GV1167" s="1"/>
      <c r="GW1167" s="1"/>
      <c r="GX1167" s="1"/>
      <c r="GY1167" s="1"/>
      <c r="GZ1167" s="1"/>
      <c r="HA1167" s="1"/>
      <c r="HB1167" s="1"/>
      <c r="HC1167" s="1"/>
      <c r="HD1167" s="1"/>
      <c r="HE1167" s="1"/>
      <c r="HF1167" s="1"/>
      <c r="HG1167" s="1"/>
      <c r="HH1167" s="1"/>
    </row>
    <row r="1168" spans="1:216" x14ac:dyDescent="0.3">
      <c r="A1168" s="3"/>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c r="FT1168" s="1"/>
      <c r="FU1168" s="1"/>
      <c r="FV1168" s="1"/>
      <c r="FW1168" s="1"/>
      <c r="FX1168" s="1"/>
      <c r="FY1168" s="1"/>
      <c r="FZ1168" s="1"/>
      <c r="GA1168" s="1"/>
      <c r="GB1168" s="1"/>
      <c r="GC1168" s="1"/>
      <c r="GD1168" s="1"/>
      <c r="GE1168" s="1"/>
      <c r="GF1168" s="1"/>
      <c r="GG1168" s="1"/>
      <c r="GH1168" s="1"/>
      <c r="GI1168" s="1"/>
      <c r="GJ1168" s="1"/>
      <c r="GK1168" s="1"/>
      <c r="GL1168" s="1"/>
      <c r="GM1168" s="1"/>
      <c r="GN1168" s="1"/>
      <c r="GO1168" s="1"/>
      <c r="GP1168" s="1"/>
      <c r="GQ1168" s="1"/>
      <c r="GR1168" s="1"/>
      <c r="GS1168" s="1"/>
      <c r="GT1168" s="1"/>
      <c r="GU1168" s="1"/>
      <c r="GV1168" s="1"/>
      <c r="GW1168" s="1"/>
      <c r="GX1168" s="1"/>
      <c r="GY1168" s="1"/>
      <c r="GZ1168" s="1"/>
      <c r="HA1168" s="1"/>
      <c r="HB1168" s="1"/>
      <c r="HC1168" s="1"/>
      <c r="HD1168" s="1"/>
      <c r="HE1168" s="1"/>
      <c r="HF1168" s="1"/>
      <c r="HG1168" s="1"/>
      <c r="HH1168" s="1"/>
    </row>
    <row r="1169" spans="1:216" x14ac:dyDescent="0.3">
      <c r="A1169" s="3"/>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c r="FT1169" s="1"/>
      <c r="FU1169" s="1"/>
      <c r="FV1169" s="1"/>
      <c r="FW1169" s="1"/>
      <c r="FX1169" s="1"/>
      <c r="FY1169" s="1"/>
      <c r="FZ1169" s="1"/>
      <c r="GA1169" s="1"/>
      <c r="GB1169" s="1"/>
      <c r="GC1169" s="1"/>
      <c r="GD1169" s="1"/>
      <c r="GE1169" s="1"/>
      <c r="GF1169" s="1"/>
      <c r="GG1169" s="1"/>
      <c r="GH1169" s="1"/>
      <c r="GI1169" s="1"/>
      <c r="GJ1169" s="1"/>
      <c r="GK1169" s="1"/>
      <c r="GL1169" s="1"/>
      <c r="GM1169" s="1"/>
      <c r="GN1169" s="1"/>
      <c r="GO1169" s="1"/>
      <c r="GP1169" s="1"/>
      <c r="GQ1169" s="1"/>
      <c r="GR1169" s="1"/>
      <c r="GS1169" s="1"/>
      <c r="GT1169" s="1"/>
      <c r="GU1169" s="1"/>
      <c r="GV1169" s="1"/>
      <c r="GW1169" s="1"/>
      <c r="GX1169" s="1"/>
      <c r="GY1169" s="1"/>
      <c r="GZ1169" s="1"/>
      <c r="HA1169" s="1"/>
      <c r="HB1169" s="1"/>
      <c r="HC1169" s="1"/>
      <c r="HD1169" s="1"/>
      <c r="HE1169" s="1"/>
      <c r="HF1169" s="1"/>
      <c r="HG1169" s="1"/>
      <c r="HH1169" s="1"/>
    </row>
    <row r="1170" spans="1:216" x14ac:dyDescent="0.3">
      <c r="A1170" s="3"/>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c r="FT1170" s="1"/>
      <c r="FU1170" s="1"/>
      <c r="FV1170" s="1"/>
      <c r="FW1170" s="1"/>
      <c r="FX1170" s="1"/>
      <c r="FY1170" s="1"/>
      <c r="FZ1170" s="1"/>
      <c r="GA1170" s="1"/>
      <c r="GB1170" s="1"/>
      <c r="GC1170" s="1"/>
      <c r="GD1170" s="1"/>
      <c r="GE1170" s="1"/>
      <c r="GF1170" s="1"/>
      <c r="GG1170" s="1"/>
      <c r="GH1170" s="1"/>
      <c r="GI1170" s="1"/>
      <c r="GJ1170" s="1"/>
      <c r="GK1170" s="1"/>
      <c r="GL1170" s="1"/>
      <c r="GM1170" s="1"/>
      <c r="GN1170" s="1"/>
      <c r="GO1170" s="1"/>
      <c r="GP1170" s="1"/>
      <c r="GQ1170" s="1"/>
      <c r="GR1170" s="1"/>
      <c r="GS1170" s="1"/>
      <c r="GT1170" s="1"/>
      <c r="GU1170" s="1"/>
      <c r="GV1170" s="1"/>
      <c r="GW1170" s="1"/>
      <c r="GX1170" s="1"/>
      <c r="GY1170" s="1"/>
      <c r="GZ1170" s="1"/>
      <c r="HA1170" s="1"/>
      <c r="HB1170" s="1"/>
      <c r="HC1170" s="1"/>
      <c r="HD1170" s="1"/>
      <c r="HE1170" s="1"/>
      <c r="HF1170" s="1"/>
      <c r="HG1170" s="1"/>
      <c r="HH1170" s="1"/>
    </row>
    <row r="1171" spans="1:216" x14ac:dyDescent="0.3">
      <c r="A1171" s="3"/>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c r="FT1171" s="1"/>
      <c r="FU1171" s="1"/>
      <c r="FV1171" s="1"/>
      <c r="FW1171" s="1"/>
      <c r="FX1171" s="1"/>
      <c r="FY1171" s="1"/>
      <c r="FZ1171" s="1"/>
      <c r="GA1171" s="1"/>
      <c r="GB1171" s="1"/>
      <c r="GC1171" s="1"/>
      <c r="GD1171" s="1"/>
      <c r="GE1171" s="1"/>
      <c r="GF1171" s="1"/>
      <c r="GG1171" s="1"/>
      <c r="GH1171" s="1"/>
      <c r="GI1171" s="1"/>
      <c r="GJ1171" s="1"/>
      <c r="GK1171" s="1"/>
      <c r="GL1171" s="1"/>
      <c r="GM1171" s="1"/>
      <c r="GN1171" s="1"/>
      <c r="GO1171" s="1"/>
      <c r="GP1171" s="1"/>
      <c r="GQ1171" s="1"/>
      <c r="GR1171" s="1"/>
      <c r="GS1171" s="1"/>
      <c r="GT1171" s="1"/>
      <c r="GU1171" s="1"/>
      <c r="GV1171" s="1"/>
      <c r="GW1171" s="1"/>
      <c r="GX1171" s="1"/>
      <c r="GY1171" s="1"/>
      <c r="GZ1171" s="1"/>
      <c r="HA1171" s="1"/>
      <c r="HB1171" s="1"/>
      <c r="HC1171" s="1"/>
      <c r="HD1171" s="1"/>
      <c r="HE1171" s="1"/>
      <c r="HF1171" s="1"/>
      <c r="HG1171" s="1"/>
      <c r="HH1171" s="1"/>
    </row>
    <row r="1172" spans="1:216" x14ac:dyDescent="0.3">
      <c r="A1172" s="3"/>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c r="FT1172" s="1"/>
      <c r="FU1172" s="1"/>
      <c r="FV1172" s="1"/>
      <c r="FW1172" s="1"/>
      <c r="FX1172" s="1"/>
      <c r="FY1172" s="1"/>
      <c r="FZ1172" s="1"/>
      <c r="GA1172" s="1"/>
      <c r="GB1172" s="1"/>
      <c r="GC1172" s="1"/>
      <c r="GD1172" s="1"/>
      <c r="GE1172" s="1"/>
      <c r="GF1172" s="1"/>
      <c r="GG1172" s="1"/>
      <c r="GH1172" s="1"/>
      <c r="GI1172" s="1"/>
      <c r="GJ1172" s="1"/>
      <c r="GK1172" s="1"/>
      <c r="GL1172" s="1"/>
      <c r="GM1172" s="1"/>
      <c r="GN1172" s="1"/>
      <c r="GO1172" s="1"/>
      <c r="GP1172" s="1"/>
      <c r="GQ1172" s="1"/>
      <c r="GR1172" s="1"/>
      <c r="GS1172" s="1"/>
      <c r="GT1172" s="1"/>
      <c r="GU1172" s="1"/>
      <c r="GV1172" s="1"/>
      <c r="GW1172" s="1"/>
      <c r="GX1172" s="1"/>
      <c r="GY1172" s="1"/>
      <c r="GZ1172" s="1"/>
      <c r="HA1172" s="1"/>
      <c r="HB1172" s="1"/>
      <c r="HC1172" s="1"/>
      <c r="HD1172" s="1"/>
      <c r="HE1172" s="1"/>
      <c r="HF1172" s="1"/>
      <c r="HG1172" s="1"/>
      <c r="HH1172" s="1"/>
    </row>
    <row r="1173" spans="1:216" x14ac:dyDescent="0.3">
      <c r="A1173" s="3"/>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c r="FT1173" s="1"/>
      <c r="FU1173" s="1"/>
      <c r="FV1173" s="1"/>
      <c r="FW1173" s="1"/>
      <c r="FX1173" s="1"/>
      <c r="FY1173" s="1"/>
      <c r="FZ1173" s="1"/>
      <c r="GA1173" s="1"/>
      <c r="GB1173" s="1"/>
      <c r="GC1173" s="1"/>
      <c r="GD1173" s="1"/>
      <c r="GE1173" s="1"/>
      <c r="GF1173" s="1"/>
      <c r="GG1173" s="1"/>
      <c r="GH1173" s="1"/>
      <c r="GI1173" s="1"/>
      <c r="GJ1173" s="1"/>
      <c r="GK1173" s="1"/>
      <c r="GL1173" s="1"/>
      <c r="GM1173" s="1"/>
      <c r="GN1173" s="1"/>
      <c r="GO1173" s="1"/>
      <c r="GP1173" s="1"/>
      <c r="GQ1173" s="1"/>
      <c r="GR1173" s="1"/>
      <c r="GS1173" s="1"/>
      <c r="GT1173" s="1"/>
      <c r="GU1173" s="1"/>
      <c r="GV1173" s="1"/>
      <c r="GW1173" s="1"/>
      <c r="GX1173" s="1"/>
      <c r="GY1173" s="1"/>
      <c r="GZ1173" s="1"/>
      <c r="HA1173" s="1"/>
      <c r="HB1173" s="1"/>
      <c r="HC1173" s="1"/>
      <c r="HD1173" s="1"/>
      <c r="HE1173" s="1"/>
      <c r="HF1173" s="1"/>
      <c r="HG1173" s="1"/>
      <c r="HH1173" s="1"/>
    </row>
    <row r="1174" spans="1:216" x14ac:dyDescent="0.3">
      <c r="A1174" s="3"/>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c r="FT1174" s="1"/>
      <c r="FU1174" s="1"/>
      <c r="FV1174" s="1"/>
      <c r="FW1174" s="1"/>
      <c r="FX1174" s="1"/>
      <c r="FY1174" s="1"/>
      <c r="FZ1174" s="1"/>
      <c r="GA1174" s="1"/>
      <c r="GB1174" s="1"/>
      <c r="GC1174" s="1"/>
      <c r="GD1174" s="1"/>
      <c r="GE1174" s="1"/>
      <c r="GF1174" s="1"/>
      <c r="GG1174" s="1"/>
      <c r="GH1174" s="1"/>
      <c r="GI1174" s="1"/>
      <c r="GJ1174" s="1"/>
      <c r="GK1174" s="1"/>
      <c r="GL1174" s="1"/>
      <c r="GM1174" s="1"/>
      <c r="GN1174" s="1"/>
      <c r="GO1174" s="1"/>
      <c r="GP1174" s="1"/>
      <c r="GQ1174" s="1"/>
      <c r="GR1174" s="1"/>
      <c r="GS1174" s="1"/>
      <c r="GT1174" s="1"/>
      <c r="GU1174" s="1"/>
      <c r="GV1174" s="1"/>
      <c r="GW1174" s="1"/>
      <c r="GX1174" s="1"/>
      <c r="GY1174" s="1"/>
      <c r="GZ1174" s="1"/>
      <c r="HA1174" s="1"/>
      <c r="HB1174" s="1"/>
      <c r="HC1174" s="1"/>
      <c r="HD1174" s="1"/>
      <c r="HE1174" s="1"/>
      <c r="HF1174" s="1"/>
      <c r="HG1174" s="1"/>
      <c r="HH1174" s="1"/>
    </row>
    <row r="1175" spans="1:216" x14ac:dyDescent="0.3">
      <c r="A1175" s="3"/>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c r="FT1175" s="1"/>
      <c r="FU1175" s="1"/>
      <c r="FV1175" s="1"/>
      <c r="FW1175" s="1"/>
      <c r="FX1175" s="1"/>
      <c r="FY1175" s="1"/>
      <c r="FZ1175" s="1"/>
      <c r="GA1175" s="1"/>
      <c r="GB1175" s="1"/>
      <c r="GC1175" s="1"/>
      <c r="GD1175" s="1"/>
      <c r="GE1175" s="1"/>
      <c r="GF1175" s="1"/>
      <c r="GG1175" s="1"/>
      <c r="GH1175" s="1"/>
      <c r="GI1175" s="1"/>
      <c r="GJ1175" s="1"/>
      <c r="GK1175" s="1"/>
      <c r="GL1175" s="1"/>
      <c r="GM1175" s="1"/>
      <c r="GN1175" s="1"/>
      <c r="GO1175" s="1"/>
      <c r="GP1175" s="1"/>
      <c r="GQ1175" s="1"/>
      <c r="GR1175" s="1"/>
      <c r="GS1175" s="1"/>
      <c r="GT1175" s="1"/>
      <c r="GU1175" s="1"/>
      <c r="GV1175" s="1"/>
      <c r="GW1175" s="1"/>
      <c r="GX1175" s="1"/>
      <c r="GY1175" s="1"/>
      <c r="GZ1175" s="1"/>
      <c r="HA1175" s="1"/>
      <c r="HB1175" s="1"/>
      <c r="HC1175" s="1"/>
      <c r="HD1175" s="1"/>
      <c r="HE1175" s="1"/>
      <c r="HF1175" s="1"/>
      <c r="HG1175" s="1"/>
      <c r="HH1175" s="1"/>
    </row>
    <row r="1176" spans="1:216" x14ac:dyDescent="0.3">
      <c r="A1176" s="3"/>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c r="FT1176" s="1"/>
      <c r="FU1176" s="1"/>
      <c r="FV1176" s="1"/>
      <c r="FW1176" s="1"/>
      <c r="FX1176" s="1"/>
      <c r="FY1176" s="1"/>
      <c r="FZ1176" s="1"/>
      <c r="GA1176" s="1"/>
      <c r="GB1176" s="1"/>
      <c r="GC1176" s="1"/>
      <c r="GD1176" s="1"/>
      <c r="GE1176" s="1"/>
      <c r="GF1176" s="1"/>
      <c r="GG1176" s="1"/>
      <c r="GH1176" s="1"/>
      <c r="GI1176" s="1"/>
      <c r="GJ1176" s="1"/>
      <c r="GK1176" s="1"/>
      <c r="GL1176" s="1"/>
      <c r="GM1176" s="1"/>
      <c r="GN1176" s="1"/>
      <c r="GO1176" s="1"/>
      <c r="GP1176" s="1"/>
      <c r="GQ1176" s="1"/>
      <c r="GR1176" s="1"/>
      <c r="GS1176" s="1"/>
      <c r="GT1176" s="1"/>
      <c r="GU1176" s="1"/>
      <c r="GV1176" s="1"/>
      <c r="GW1176" s="1"/>
      <c r="GX1176" s="1"/>
      <c r="GY1176" s="1"/>
      <c r="GZ1176" s="1"/>
      <c r="HA1176" s="1"/>
      <c r="HB1176" s="1"/>
      <c r="HC1176" s="1"/>
      <c r="HD1176" s="1"/>
      <c r="HE1176" s="1"/>
      <c r="HF1176" s="1"/>
      <c r="HG1176" s="1"/>
      <c r="HH1176" s="1"/>
    </row>
    <row r="1177" spans="1:216" x14ac:dyDescent="0.3">
      <c r="A1177" s="3"/>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c r="FT1177" s="1"/>
      <c r="FU1177" s="1"/>
      <c r="FV1177" s="1"/>
      <c r="FW1177" s="1"/>
      <c r="FX1177" s="1"/>
      <c r="FY1177" s="1"/>
      <c r="FZ1177" s="1"/>
      <c r="GA1177" s="1"/>
      <c r="GB1177" s="1"/>
      <c r="GC1177" s="1"/>
      <c r="GD1177" s="1"/>
      <c r="GE1177" s="1"/>
      <c r="GF1177" s="1"/>
      <c r="GG1177" s="1"/>
      <c r="GH1177" s="1"/>
      <c r="GI1177" s="1"/>
      <c r="GJ1177" s="1"/>
      <c r="GK1177" s="1"/>
      <c r="GL1177" s="1"/>
      <c r="GM1177" s="1"/>
      <c r="GN1177" s="1"/>
      <c r="GO1177" s="1"/>
      <c r="GP1177" s="1"/>
      <c r="GQ1177" s="1"/>
      <c r="GR1177" s="1"/>
      <c r="GS1177" s="1"/>
      <c r="GT1177" s="1"/>
      <c r="GU1177" s="1"/>
      <c r="GV1177" s="1"/>
      <c r="GW1177" s="1"/>
      <c r="GX1177" s="1"/>
      <c r="GY1177" s="1"/>
      <c r="GZ1177" s="1"/>
      <c r="HA1177" s="1"/>
      <c r="HB1177" s="1"/>
      <c r="HC1177" s="1"/>
      <c r="HD1177" s="1"/>
      <c r="HE1177" s="1"/>
      <c r="HF1177" s="1"/>
      <c r="HG1177" s="1"/>
      <c r="HH1177" s="1"/>
    </row>
    <row r="1178" spans="1:216" x14ac:dyDescent="0.3">
      <c r="A1178" s="3"/>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c r="FT1178" s="1"/>
      <c r="FU1178" s="1"/>
      <c r="FV1178" s="1"/>
      <c r="FW1178" s="1"/>
      <c r="FX1178" s="1"/>
      <c r="FY1178" s="1"/>
      <c r="FZ1178" s="1"/>
      <c r="GA1178" s="1"/>
      <c r="GB1178" s="1"/>
      <c r="GC1178" s="1"/>
      <c r="GD1178" s="1"/>
      <c r="GE1178" s="1"/>
      <c r="GF1178" s="1"/>
      <c r="GG1178" s="1"/>
      <c r="GH1178" s="1"/>
      <c r="GI1178" s="1"/>
      <c r="GJ1178" s="1"/>
      <c r="GK1178" s="1"/>
      <c r="GL1178" s="1"/>
      <c r="GM1178" s="1"/>
      <c r="GN1178" s="1"/>
      <c r="GO1178" s="1"/>
      <c r="GP1178" s="1"/>
      <c r="GQ1178" s="1"/>
      <c r="GR1178" s="1"/>
      <c r="GS1178" s="1"/>
      <c r="GT1178" s="1"/>
      <c r="GU1178" s="1"/>
      <c r="GV1178" s="1"/>
      <c r="GW1178" s="1"/>
      <c r="GX1178" s="1"/>
      <c r="GY1178" s="1"/>
      <c r="GZ1178" s="1"/>
      <c r="HA1178" s="1"/>
      <c r="HB1178" s="1"/>
      <c r="HC1178" s="1"/>
      <c r="HD1178" s="1"/>
      <c r="HE1178" s="1"/>
      <c r="HF1178" s="1"/>
      <c r="HG1178" s="1"/>
      <c r="HH1178" s="1"/>
    </row>
    <row r="1179" spans="1:216" x14ac:dyDescent="0.3">
      <c r="A1179" s="3"/>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c r="FT1179" s="1"/>
      <c r="FU1179" s="1"/>
      <c r="FV1179" s="1"/>
      <c r="FW1179" s="1"/>
      <c r="FX1179" s="1"/>
      <c r="FY1179" s="1"/>
      <c r="FZ1179" s="1"/>
      <c r="GA1179" s="1"/>
      <c r="GB1179" s="1"/>
      <c r="GC1179" s="1"/>
      <c r="GD1179" s="1"/>
      <c r="GE1179" s="1"/>
      <c r="GF1179" s="1"/>
      <c r="GG1179" s="1"/>
      <c r="GH1179" s="1"/>
      <c r="GI1179" s="1"/>
      <c r="GJ1179" s="1"/>
      <c r="GK1179" s="1"/>
      <c r="GL1179" s="1"/>
      <c r="GM1179" s="1"/>
      <c r="GN1179" s="1"/>
      <c r="GO1179" s="1"/>
      <c r="GP1179" s="1"/>
      <c r="GQ1179" s="1"/>
      <c r="GR1179" s="1"/>
      <c r="GS1179" s="1"/>
      <c r="GT1179" s="1"/>
      <c r="GU1179" s="1"/>
      <c r="GV1179" s="1"/>
      <c r="GW1179" s="1"/>
      <c r="GX1179" s="1"/>
      <c r="GY1179" s="1"/>
      <c r="GZ1179" s="1"/>
      <c r="HA1179" s="1"/>
      <c r="HB1179" s="1"/>
      <c r="HC1179" s="1"/>
      <c r="HD1179" s="1"/>
      <c r="HE1179" s="1"/>
      <c r="HF1179" s="1"/>
      <c r="HG1179" s="1"/>
      <c r="HH1179" s="1"/>
    </row>
    <row r="1180" spans="1:216" x14ac:dyDescent="0.3">
      <c r="A1180" s="3"/>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c r="FT1180" s="1"/>
      <c r="FU1180" s="1"/>
      <c r="FV1180" s="1"/>
      <c r="FW1180" s="1"/>
      <c r="FX1180" s="1"/>
      <c r="FY1180" s="1"/>
      <c r="FZ1180" s="1"/>
      <c r="GA1180" s="1"/>
      <c r="GB1180" s="1"/>
      <c r="GC1180" s="1"/>
      <c r="GD1180" s="1"/>
      <c r="GE1180" s="1"/>
      <c r="GF1180" s="1"/>
      <c r="GG1180" s="1"/>
      <c r="GH1180" s="1"/>
      <c r="GI1180" s="1"/>
      <c r="GJ1180" s="1"/>
      <c r="GK1180" s="1"/>
      <c r="GL1180" s="1"/>
      <c r="GM1180" s="1"/>
      <c r="GN1180" s="1"/>
      <c r="GO1180" s="1"/>
      <c r="GP1180" s="1"/>
      <c r="GQ1180" s="1"/>
      <c r="GR1180" s="1"/>
      <c r="GS1180" s="1"/>
      <c r="GT1180" s="1"/>
      <c r="GU1180" s="1"/>
      <c r="GV1180" s="1"/>
      <c r="GW1180" s="1"/>
      <c r="GX1180" s="1"/>
      <c r="GY1180" s="1"/>
      <c r="GZ1180" s="1"/>
      <c r="HA1180" s="1"/>
      <c r="HB1180" s="1"/>
      <c r="HC1180" s="1"/>
      <c r="HD1180" s="1"/>
      <c r="HE1180" s="1"/>
      <c r="HF1180" s="1"/>
      <c r="HG1180" s="1"/>
      <c r="HH1180" s="1"/>
    </row>
    <row r="1181" spans="1:216" x14ac:dyDescent="0.3">
      <c r="A1181" s="3"/>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c r="FT1181" s="1"/>
      <c r="FU1181" s="1"/>
      <c r="FV1181" s="1"/>
      <c r="FW1181" s="1"/>
      <c r="FX1181" s="1"/>
      <c r="FY1181" s="1"/>
      <c r="FZ1181" s="1"/>
      <c r="GA1181" s="1"/>
      <c r="GB1181" s="1"/>
      <c r="GC1181" s="1"/>
      <c r="GD1181" s="1"/>
      <c r="GE1181" s="1"/>
      <c r="GF1181" s="1"/>
      <c r="GG1181" s="1"/>
      <c r="GH1181" s="1"/>
      <c r="GI1181" s="1"/>
      <c r="GJ1181" s="1"/>
      <c r="GK1181" s="1"/>
      <c r="GL1181" s="1"/>
      <c r="GM1181" s="1"/>
      <c r="GN1181" s="1"/>
      <c r="GO1181" s="1"/>
      <c r="GP1181" s="1"/>
      <c r="GQ1181" s="1"/>
      <c r="GR1181" s="1"/>
      <c r="GS1181" s="1"/>
      <c r="GT1181" s="1"/>
      <c r="GU1181" s="1"/>
      <c r="GV1181" s="1"/>
      <c r="GW1181" s="1"/>
      <c r="GX1181" s="1"/>
      <c r="GY1181" s="1"/>
      <c r="GZ1181" s="1"/>
      <c r="HA1181" s="1"/>
      <c r="HB1181" s="1"/>
      <c r="HC1181" s="1"/>
      <c r="HD1181" s="1"/>
      <c r="HE1181" s="1"/>
      <c r="HF1181" s="1"/>
      <c r="HG1181" s="1"/>
      <c r="HH1181" s="1"/>
    </row>
    <row r="1182" spans="1:216" x14ac:dyDescent="0.3">
      <c r="A1182" s="3"/>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c r="FT1182" s="1"/>
      <c r="FU1182" s="1"/>
      <c r="FV1182" s="1"/>
      <c r="FW1182" s="1"/>
      <c r="FX1182" s="1"/>
      <c r="FY1182" s="1"/>
      <c r="FZ1182" s="1"/>
      <c r="GA1182" s="1"/>
      <c r="GB1182" s="1"/>
      <c r="GC1182" s="1"/>
      <c r="GD1182" s="1"/>
      <c r="GE1182" s="1"/>
      <c r="GF1182" s="1"/>
      <c r="GG1182" s="1"/>
      <c r="GH1182" s="1"/>
      <c r="GI1182" s="1"/>
      <c r="GJ1182" s="1"/>
      <c r="GK1182" s="1"/>
      <c r="GL1182" s="1"/>
      <c r="GM1182" s="1"/>
      <c r="GN1182" s="1"/>
      <c r="GO1182" s="1"/>
      <c r="GP1182" s="1"/>
      <c r="GQ1182" s="1"/>
      <c r="GR1182" s="1"/>
      <c r="GS1182" s="1"/>
      <c r="GT1182" s="1"/>
      <c r="GU1182" s="1"/>
      <c r="GV1182" s="1"/>
      <c r="GW1182" s="1"/>
      <c r="GX1182" s="1"/>
      <c r="GY1182" s="1"/>
      <c r="GZ1182" s="1"/>
      <c r="HA1182" s="1"/>
      <c r="HB1182" s="1"/>
      <c r="HC1182" s="1"/>
      <c r="HD1182" s="1"/>
      <c r="HE1182" s="1"/>
      <c r="HF1182" s="1"/>
      <c r="HG1182" s="1"/>
      <c r="HH1182" s="1"/>
    </row>
    <row r="1183" spans="1:216" x14ac:dyDescent="0.3">
      <c r="A1183" s="3"/>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c r="FT1183" s="1"/>
      <c r="FU1183" s="1"/>
      <c r="FV1183" s="1"/>
      <c r="FW1183" s="1"/>
      <c r="FX1183" s="1"/>
      <c r="FY1183" s="1"/>
      <c r="FZ1183" s="1"/>
      <c r="GA1183" s="1"/>
      <c r="GB1183" s="1"/>
      <c r="GC1183" s="1"/>
      <c r="GD1183" s="1"/>
      <c r="GE1183" s="1"/>
      <c r="GF1183" s="1"/>
      <c r="GG1183" s="1"/>
      <c r="GH1183" s="1"/>
      <c r="GI1183" s="1"/>
      <c r="GJ1183" s="1"/>
      <c r="GK1183" s="1"/>
      <c r="GL1183" s="1"/>
      <c r="GM1183" s="1"/>
      <c r="GN1183" s="1"/>
      <c r="GO1183" s="1"/>
      <c r="GP1183" s="1"/>
      <c r="GQ1183" s="1"/>
      <c r="GR1183" s="1"/>
      <c r="GS1183" s="1"/>
      <c r="GT1183" s="1"/>
      <c r="GU1183" s="1"/>
      <c r="GV1183" s="1"/>
      <c r="GW1183" s="1"/>
      <c r="GX1183" s="1"/>
      <c r="GY1183" s="1"/>
      <c r="GZ1183" s="1"/>
      <c r="HA1183" s="1"/>
      <c r="HB1183" s="1"/>
      <c r="HC1183" s="1"/>
      <c r="HD1183" s="1"/>
      <c r="HE1183" s="1"/>
      <c r="HF1183" s="1"/>
      <c r="HG1183" s="1"/>
      <c r="HH1183" s="1"/>
    </row>
    <row r="1184" spans="1:216" x14ac:dyDescent="0.3">
      <c r="A1184" s="3"/>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c r="FT1184" s="1"/>
      <c r="FU1184" s="1"/>
      <c r="FV1184" s="1"/>
      <c r="FW1184" s="1"/>
      <c r="FX1184" s="1"/>
      <c r="FY1184" s="1"/>
      <c r="FZ1184" s="1"/>
      <c r="GA1184" s="1"/>
      <c r="GB1184" s="1"/>
      <c r="GC1184" s="1"/>
      <c r="GD1184" s="1"/>
      <c r="GE1184" s="1"/>
      <c r="GF1184" s="1"/>
      <c r="GG1184" s="1"/>
      <c r="GH1184" s="1"/>
      <c r="GI1184" s="1"/>
      <c r="GJ1184" s="1"/>
      <c r="GK1184" s="1"/>
      <c r="GL1184" s="1"/>
      <c r="GM1184" s="1"/>
      <c r="GN1184" s="1"/>
      <c r="GO1184" s="1"/>
      <c r="GP1184" s="1"/>
      <c r="GQ1184" s="1"/>
      <c r="GR1184" s="1"/>
      <c r="GS1184" s="1"/>
      <c r="GT1184" s="1"/>
      <c r="GU1184" s="1"/>
      <c r="GV1184" s="1"/>
      <c r="GW1184" s="1"/>
      <c r="GX1184" s="1"/>
      <c r="GY1184" s="1"/>
      <c r="GZ1184" s="1"/>
      <c r="HA1184" s="1"/>
      <c r="HB1184" s="1"/>
      <c r="HC1184" s="1"/>
      <c r="HD1184" s="1"/>
      <c r="HE1184" s="1"/>
      <c r="HF1184" s="1"/>
      <c r="HG1184" s="1"/>
      <c r="HH1184" s="1"/>
    </row>
    <row r="1185" spans="1:216" x14ac:dyDescent="0.3">
      <c r="A1185" s="3"/>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c r="FT1185" s="1"/>
      <c r="FU1185" s="1"/>
      <c r="FV1185" s="1"/>
      <c r="FW1185" s="1"/>
      <c r="FX1185" s="1"/>
      <c r="FY1185" s="1"/>
      <c r="FZ1185" s="1"/>
      <c r="GA1185" s="1"/>
      <c r="GB1185" s="1"/>
      <c r="GC1185" s="1"/>
      <c r="GD1185" s="1"/>
      <c r="GE1185" s="1"/>
      <c r="GF1185" s="1"/>
      <c r="GG1185" s="1"/>
      <c r="GH1185" s="1"/>
      <c r="GI1185" s="1"/>
      <c r="GJ1185" s="1"/>
      <c r="GK1185" s="1"/>
      <c r="GL1185" s="1"/>
      <c r="GM1185" s="1"/>
      <c r="GN1185" s="1"/>
      <c r="GO1185" s="1"/>
      <c r="GP1185" s="1"/>
      <c r="GQ1185" s="1"/>
      <c r="GR1185" s="1"/>
      <c r="GS1185" s="1"/>
      <c r="GT1185" s="1"/>
      <c r="GU1185" s="1"/>
      <c r="GV1185" s="1"/>
      <c r="GW1185" s="1"/>
      <c r="GX1185" s="1"/>
      <c r="GY1185" s="1"/>
      <c r="GZ1185" s="1"/>
      <c r="HA1185" s="1"/>
      <c r="HB1185" s="1"/>
      <c r="HC1185" s="1"/>
      <c r="HD1185" s="1"/>
      <c r="HE1185" s="1"/>
      <c r="HF1185" s="1"/>
      <c r="HG1185" s="1"/>
      <c r="HH1185" s="1"/>
    </row>
    <row r="1186" spans="1:216" x14ac:dyDescent="0.3">
      <c r="A1186" s="3"/>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c r="GY1186" s="1"/>
      <c r="GZ1186" s="1"/>
      <c r="HA1186" s="1"/>
      <c r="HB1186" s="1"/>
      <c r="HC1186" s="1"/>
      <c r="HD1186" s="1"/>
      <c r="HE1186" s="1"/>
      <c r="HF1186" s="1"/>
      <c r="HG1186" s="1"/>
      <c r="HH1186" s="1"/>
    </row>
    <row r="1187" spans="1:216" x14ac:dyDescent="0.3">
      <c r="A1187" s="3"/>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c r="FT1187" s="1"/>
      <c r="FU1187" s="1"/>
      <c r="FV1187" s="1"/>
      <c r="FW1187" s="1"/>
      <c r="FX1187" s="1"/>
      <c r="FY1187" s="1"/>
      <c r="FZ1187" s="1"/>
      <c r="GA1187" s="1"/>
      <c r="GB1187" s="1"/>
      <c r="GC1187" s="1"/>
      <c r="GD1187" s="1"/>
      <c r="GE1187" s="1"/>
      <c r="GF1187" s="1"/>
      <c r="GG1187" s="1"/>
      <c r="GH1187" s="1"/>
      <c r="GI1187" s="1"/>
      <c r="GJ1187" s="1"/>
      <c r="GK1187" s="1"/>
      <c r="GL1187" s="1"/>
      <c r="GM1187" s="1"/>
      <c r="GN1187" s="1"/>
      <c r="GO1187" s="1"/>
      <c r="GP1187" s="1"/>
      <c r="GQ1187" s="1"/>
      <c r="GR1187" s="1"/>
      <c r="GS1187" s="1"/>
      <c r="GT1187" s="1"/>
      <c r="GU1187" s="1"/>
      <c r="GV1187" s="1"/>
      <c r="GW1187" s="1"/>
      <c r="GX1187" s="1"/>
      <c r="GY1187" s="1"/>
      <c r="GZ1187" s="1"/>
      <c r="HA1187" s="1"/>
      <c r="HB1187" s="1"/>
      <c r="HC1187" s="1"/>
      <c r="HD1187" s="1"/>
      <c r="HE1187" s="1"/>
      <c r="HF1187" s="1"/>
      <c r="HG1187" s="1"/>
      <c r="HH1187" s="1"/>
    </row>
    <row r="1188" spans="1:216" x14ac:dyDescent="0.3">
      <c r="A1188" s="3"/>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c r="GJ1188" s="1"/>
      <c r="GK1188" s="1"/>
      <c r="GL1188" s="1"/>
      <c r="GM1188" s="1"/>
      <c r="GN1188" s="1"/>
      <c r="GO1188" s="1"/>
      <c r="GP1188" s="1"/>
      <c r="GQ1188" s="1"/>
      <c r="GR1188" s="1"/>
      <c r="GS1188" s="1"/>
      <c r="GT1188" s="1"/>
      <c r="GU1188" s="1"/>
      <c r="GV1188" s="1"/>
      <c r="GW1188" s="1"/>
      <c r="GX1188" s="1"/>
      <c r="GY1188" s="1"/>
      <c r="GZ1188" s="1"/>
      <c r="HA1188" s="1"/>
      <c r="HB1188" s="1"/>
      <c r="HC1188" s="1"/>
      <c r="HD1188" s="1"/>
      <c r="HE1188" s="1"/>
      <c r="HF1188" s="1"/>
      <c r="HG1188" s="1"/>
      <c r="HH1188" s="1"/>
    </row>
    <row r="1189" spans="1:216" x14ac:dyDescent="0.3">
      <c r="A1189" s="3"/>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GS1189" s="1"/>
      <c r="GT1189" s="1"/>
      <c r="GU1189" s="1"/>
      <c r="GV1189" s="1"/>
      <c r="GW1189" s="1"/>
      <c r="GX1189" s="1"/>
      <c r="GY1189" s="1"/>
      <c r="GZ1189" s="1"/>
      <c r="HA1189" s="1"/>
      <c r="HB1189" s="1"/>
      <c r="HC1189" s="1"/>
      <c r="HD1189" s="1"/>
      <c r="HE1189" s="1"/>
      <c r="HF1189" s="1"/>
      <c r="HG1189" s="1"/>
      <c r="HH1189" s="1"/>
    </row>
    <row r="1190" spans="1:216" x14ac:dyDescent="0.3">
      <c r="A1190" s="3"/>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c r="FT1190" s="1"/>
      <c r="FU1190" s="1"/>
      <c r="FV1190" s="1"/>
      <c r="FW1190" s="1"/>
      <c r="FX1190" s="1"/>
      <c r="FY1190" s="1"/>
      <c r="FZ1190" s="1"/>
      <c r="GA1190" s="1"/>
      <c r="GB1190" s="1"/>
      <c r="GC1190" s="1"/>
      <c r="GD1190" s="1"/>
      <c r="GE1190" s="1"/>
      <c r="GF1190" s="1"/>
      <c r="GG1190" s="1"/>
      <c r="GH1190" s="1"/>
      <c r="GI1190" s="1"/>
      <c r="GJ1190" s="1"/>
      <c r="GK1190" s="1"/>
      <c r="GL1190" s="1"/>
      <c r="GM1190" s="1"/>
      <c r="GN1190" s="1"/>
      <c r="GO1190" s="1"/>
      <c r="GP1190" s="1"/>
      <c r="GQ1190" s="1"/>
      <c r="GR1190" s="1"/>
      <c r="GS1190" s="1"/>
      <c r="GT1190" s="1"/>
      <c r="GU1190" s="1"/>
      <c r="GV1190" s="1"/>
      <c r="GW1190" s="1"/>
      <c r="GX1190" s="1"/>
      <c r="GY1190" s="1"/>
      <c r="GZ1190" s="1"/>
      <c r="HA1190" s="1"/>
      <c r="HB1190" s="1"/>
      <c r="HC1190" s="1"/>
      <c r="HD1190" s="1"/>
      <c r="HE1190" s="1"/>
      <c r="HF1190" s="1"/>
      <c r="HG1190" s="1"/>
      <c r="HH1190" s="1"/>
    </row>
    <row r="1191" spans="1:216" x14ac:dyDescent="0.3">
      <c r="A1191" s="3"/>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c r="FT1191" s="1"/>
      <c r="FU1191" s="1"/>
      <c r="FV1191" s="1"/>
      <c r="FW1191" s="1"/>
      <c r="FX1191" s="1"/>
      <c r="FY1191" s="1"/>
      <c r="FZ1191" s="1"/>
      <c r="GA1191" s="1"/>
      <c r="GB1191" s="1"/>
      <c r="GC1191" s="1"/>
      <c r="GD1191" s="1"/>
      <c r="GE1191" s="1"/>
      <c r="GF1191" s="1"/>
      <c r="GG1191" s="1"/>
      <c r="GH1191" s="1"/>
      <c r="GI1191" s="1"/>
      <c r="GJ1191" s="1"/>
      <c r="GK1191" s="1"/>
      <c r="GL1191" s="1"/>
      <c r="GM1191" s="1"/>
      <c r="GN1191" s="1"/>
      <c r="GO1191" s="1"/>
      <c r="GP1191" s="1"/>
      <c r="GQ1191" s="1"/>
      <c r="GR1191" s="1"/>
      <c r="GS1191" s="1"/>
      <c r="GT1191" s="1"/>
      <c r="GU1191" s="1"/>
      <c r="GV1191" s="1"/>
      <c r="GW1191" s="1"/>
      <c r="GX1191" s="1"/>
      <c r="GY1191" s="1"/>
      <c r="GZ1191" s="1"/>
      <c r="HA1191" s="1"/>
      <c r="HB1191" s="1"/>
      <c r="HC1191" s="1"/>
      <c r="HD1191" s="1"/>
      <c r="HE1191" s="1"/>
      <c r="HF1191" s="1"/>
      <c r="HG1191" s="1"/>
      <c r="HH1191" s="1"/>
    </row>
    <row r="1192" spans="1:216" x14ac:dyDescent="0.3">
      <c r="A1192" s="3"/>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c r="FT1192" s="1"/>
      <c r="FU1192" s="1"/>
      <c r="FV1192" s="1"/>
      <c r="FW1192" s="1"/>
      <c r="FX1192" s="1"/>
      <c r="FY1192" s="1"/>
      <c r="FZ1192" s="1"/>
      <c r="GA1192" s="1"/>
      <c r="GB1192" s="1"/>
      <c r="GC1192" s="1"/>
      <c r="GD1192" s="1"/>
      <c r="GE1192" s="1"/>
      <c r="GF1192" s="1"/>
      <c r="GG1192" s="1"/>
      <c r="GH1192" s="1"/>
      <c r="GI1192" s="1"/>
      <c r="GJ1192" s="1"/>
      <c r="GK1192" s="1"/>
      <c r="GL1192" s="1"/>
      <c r="GM1192" s="1"/>
      <c r="GN1192" s="1"/>
      <c r="GO1192" s="1"/>
      <c r="GP1192" s="1"/>
      <c r="GQ1192" s="1"/>
      <c r="GR1192" s="1"/>
      <c r="GS1192" s="1"/>
      <c r="GT1192" s="1"/>
      <c r="GU1192" s="1"/>
      <c r="GV1192" s="1"/>
      <c r="GW1192" s="1"/>
      <c r="GX1192" s="1"/>
      <c r="GY1192" s="1"/>
      <c r="GZ1192" s="1"/>
      <c r="HA1192" s="1"/>
      <c r="HB1192" s="1"/>
      <c r="HC1192" s="1"/>
      <c r="HD1192" s="1"/>
      <c r="HE1192" s="1"/>
      <c r="HF1192" s="1"/>
      <c r="HG1192" s="1"/>
      <c r="HH1192" s="1"/>
    </row>
    <row r="1193" spans="1:216" x14ac:dyDescent="0.3">
      <c r="A1193" s="3"/>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c r="FT1193" s="1"/>
      <c r="FU1193" s="1"/>
      <c r="FV1193" s="1"/>
      <c r="FW1193" s="1"/>
      <c r="FX1193" s="1"/>
      <c r="FY1193" s="1"/>
      <c r="FZ1193" s="1"/>
      <c r="GA1193" s="1"/>
      <c r="GB1193" s="1"/>
      <c r="GC1193" s="1"/>
      <c r="GD1193" s="1"/>
      <c r="GE1193" s="1"/>
      <c r="GF1193" s="1"/>
      <c r="GG1193" s="1"/>
      <c r="GH1193" s="1"/>
      <c r="GI1193" s="1"/>
      <c r="GJ1193" s="1"/>
      <c r="GK1193" s="1"/>
      <c r="GL1193" s="1"/>
      <c r="GM1193" s="1"/>
      <c r="GN1193" s="1"/>
      <c r="GO1193" s="1"/>
      <c r="GP1193" s="1"/>
      <c r="GQ1193" s="1"/>
      <c r="GR1193" s="1"/>
      <c r="GS1193" s="1"/>
      <c r="GT1193" s="1"/>
      <c r="GU1193" s="1"/>
      <c r="GV1193" s="1"/>
      <c r="GW1193" s="1"/>
      <c r="GX1193" s="1"/>
      <c r="GY1193" s="1"/>
      <c r="GZ1193" s="1"/>
      <c r="HA1193" s="1"/>
      <c r="HB1193" s="1"/>
      <c r="HC1193" s="1"/>
      <c r="HD1193" s="1"/>
      <c r="HE1193" s="1"/>
      <c r="HF1193" s="1"/>
      <c r="HG1193" s="1"/>
      <c r="HH1193" s="1"/>
    </row>
    <row r="1194" spans="1:216" x14ac:dyDescent="0.3">
      <c r="A1194" s="3"/>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c r="FT1194" s="1"/>
      <c r="FU1194" s="1"/>
      <c r="FV1194" s="1"/>
      <c r="FW1194" s="1"/>
      <c r="FX1194" s="1"/>
      <c r="FY1194" s="1"/>
      <c r="FZ1194" s="1"/>
      <c r="GA1194" s="1"/>
      <c r="GB1194" s="1"/>
      <c r="GC1194" s="1"/>
      <c r="GD1194" s="1"/>
      <c r="GE1194" s="1"/>
      <c r="GF1194" s="1"/>
      <c r="GG1194" s="1"/>
      <c r="GH1194" s="1"/>
      <c r="GI1194" s="1"/>
      <c r="GJ1194" s="1"/>
      <c r="GK1194" s="1"/>
      <c r="GL1194" s="1"/>
      <c r="GM1194" s="1"/>
      <c r="GN1194" s="1"/>
      <c r="GO1194" s="1"/>
      <c r="GP1194" s="1"/>
      <c r="GQ1194" s="1"/>
      <c r="GR1194" s="1"/>
      <c r="GS1194" s="1"/>
      <c r="GT1194" s="1"/>
      <c r="GU1194" s="1"/>
      <c r="GV1194" s="1"/>
      <c r="GW1194" s="1"/>
      <c r="GX1194" s="1"/>
      <c r="GY1194" s="1"/>
      <c r="GZ1194" s="1"/>
      <c r="HA1194" s="1"/>
      <c r="HB1194" s="1"/>
      <c r="HC1194" s="1"/>
      <c r="HD1194" s="1"/>
      <c r="HE1194" s="1"/>
      <c r="HF1194" s="1"/>
      <c r="HG1194" s="1"/>
      <c r="HH1194" s="1"/>
    </row>
    <row r="1195" spans="1:216" x14ac:dyDescent="0.3">
      <c r="A1195" s="3"/>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c r="FT1195" s="1"/>
      <c r="FU1195" s="1"/>
      <c r="FV1195" s="1"/>
      <c r="FW1195" s="1"/>
      <c r="FX1195" s="1"/>
      <c r="FY1195" s="1"/>
      <c r="FZ1195" s="1"/>
      <c r="GA1195" s="1"/>
      <c r="GB1195" s="1"/>
      <c r="GC1195" s="1"/>
      <c r="GD1195" s="1"/>
      <c r="GE1195" s="1"/>
      <c r="GF1195" s="1"/>
      <c r="GG1195" s="1"/>
      <c r="GH1195" s="1"/>
      <c r="GI1195" s="1"/>
      <c r="GJ1195" s="1"/>
      <c r="GK1195" s="1"/>
      <c r="GL1195" s="1"/>
      <c r="GM1195" s="1"/>
      <c r="GN1195" s="1"/>
      <c r="GO1195" s="1"/>
      <c r="GP1195" s="1"/>
      <c r="GQ1195" s="1"/>
      <c r="GR1195" s="1"/>
      <c r="GS1195" s="1"/>
      <c r="GT1195" s="1"/>
      <c r="GU1195" s="1"/>
      <c r="GV1195" s="1"/>
      <c r="GW1195" s="1"/>
      <c r="GX1195" s="1"/>
      <c r="GY1195" s="1"/>
      <c r="GZ1195" s="1"/>
      <c r="HA1195" s="1"/>
      <c r="HB1195" s="1"/>
      <c r="HC1195" s="1"/>
      <c r="HD1195" s="1"/>
      <c r="HE1195" s="1"/>
      <c r="HF1195" s="1"/>
      <c r="HG1195" s="1"/>
      <c r="HH1195" s="1"/>
    </row>
    <row r="1196" spans="1:216" x14ac:dyDescent="0.3">
      <c r="A1196" s="3"/>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c r="FT1196" s="1"/>
      <c r="FU1196" s="1"/>
      <c r="FV1196" s="1"/>
      <c r="FW1196" s="1"/>
      <c r="FX1196" s="1"/>
      <c r="FY1196" s="1"/>
      <c r="FZ1196" s="1"/>
      <c r="GA1196" s="1"/>
      <c r="GB1196" s="1"/>
      <c r="GC1196" s="1"/>
      <c r="GD1196" s="1"/>
      <c r="GE1196" s="1"/>
      <c r="GF1196" s="1"/>
      <c r="GG1196" s="1"/>
      <c r="GH1196" s="1"/>
      <c r="GI1196" s="1"/>
      <c r="GJ1196" s="1"/>
      <c r="GK1196" s="1"/>
      <c r="GL1196" s="1"/>
      <c r="GM1196" s="1"/>
      <c r="GN1196" s="1"/>
      <c r="GO1196" s="1"/>
      <c r="GP1196" s="1"/>
      <c r="GQ1196" s="1"/>
      <c r="GR1196" s="1"/>
      <c r="GS1196" s="1"/>
      <c r="GT1196" s="1"/>
      <c r="GU1196" s="1"/>
      <c r="GV1196" s="1"/>
      <c r="GW1196" s="1"/>
      <c r="GX1196" s="1"/>
      <c r="GY1196" s="1"/>
      <c r="GZ1196" s="1"/>
      <c r="HA1196" s="1"/>
      <c r="HB1196" s="1"/>
      <c r="HC1196" s="1"/>
      <c r="HD1196" s="1"/>
      <c r="HE1196" s="1"/>
      <c r="HF1196" s="1"/>
      <c r="HG1196" s="1"/>
      <c r="HH1196" s="1"/>
    </row>
    <row r="1197" spans="1:216" x14ac:dyDescent="0.3">
      <c r="A1197" s="3"/>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1"/>
      <c r="GD1197" s="1"/>
      <c r="GE1197" s="1"/>
      <c r="GF1197" s="1"/>
      <c r="GG1197" s="1"/>
      <c r="GH1197" s="1"/>
      <c r="GI1197" s="1"/>
      <c r="GJ1197" s="1"/>
      <c r="GK1197" s="1"/>
      <c r="GL1197" s="1"/>
      <c r="GM1197" s="1"/>
      <c r="GN1197" s="1"/>
      <c r="GO1197" s="1"/>
      <c r="GP1197" s="1"/>
      <c r="GQ1197" s="1"/>
      <c r="GR1197" s="1"/>
      <c r="GS1197" s="1"/>
      <c r="GT1197" s="1"/>
      <c r="GU1197" s="1"/>
      <c r="GV1197" s="1"/>
      <c r="GW1197" s="1"/>
      <c r="GX1197" s="1"/>
      <c r="GY1197" s="1"/>
      <c r="GZ1197" s="1"/>
      <c r="HA1197" s="1"/>
      <c r="HB1197" s="1"/>
      <c r="HC1197" s="1"/>
      <c r="HD1197" s="1"/>
      <c r="HE1197" s="1"/>
      <c r="HF1197" s="1"/>
      <c r="HG1197" s="1"/>
      <c r="HH1197" s="1"/>
    </row>
    <row r="1198" spans="1:216" x14ac:dyDescent="0.3">
      <c r="A1198" s="3"/>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c r="FT1198" s="1"/>
      <c r="FU1198" s="1"/>
      <c r="FV1198" s="1"/>
      <c r="FW1198" s="1"/>
      <c r="FX1198" s="1"/>
      <c r="FY1198" s="1"/>
      <c r="FZ1198" s="1"/>
      <c r="GA1198" s="1"/>
      <c r="GB1198" s="1"/>
      <c r="GC1198" s="1"/>
      <c r="GD1198" s="1"/>
      <c r="GE1198" s="1"/>
      <c r="GF1198" s="1"/>
      <c r="GG1198" s="1"/>
      <c r="GH1198" s="1"/>
      <c r="GI1198" s="1"/>
      <c r="GJ1198" s="1"/>
      <c r="GK1198" s="1"/>
      <c r="GL1198" s="1"/>
      <c r="GM1198" s="1"/>
      <c r="GN1198" s="1"/>
      <c r="GO1198" s="1"/>
      <c r="GP1198" s="1"/>
      <c r="GQ1198" s="1"/>
      <c r="GR1198" s="1"/>
      <c r="GS1198" s="1"/>
      <c r="GT1198" s="1"/>
      <c r="GU1198" s="1"/>
      <c r="GV1198" s="1"/>
      <c r="GW1198" s="1"/>
      <c r="GX1198" s="1"/>
      <c r="GY1198" s="1"/>
      <c r="GZ1198" s="1"/>
      <c r="HA1198" s="1"/>
      <c r="HB1198" s="1"/>
      <c r="HC1198" s="1"/>
      <c r="HD1198" s="1"/>
      <c r="HE1198" s="1"/>
      <c r="HF1198" s="1"/>
      <c r="HG1198" s="1"/>
      <c r="HH1198" s="1"/>
    </row>
    <row r="1199" spans="1:216" x14ac:dyDescent="0.3">
      <c r="A1199" s="3"/>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c r="FT1199" s="1"/>
      <c r="FU1199" s="1"/>
      <c r="FV1199" s="1"/>
      <c r="FW1199" s="1"/>
      <c r="FX1199" s="1"/>
      <c r="FY1199" s="1"/>
      <c r="FZ1199" s="1"/>
      <c r="GA1199" s="1"/>
      <c r="GB1199" s="1"/>
      <c r="GC1199" s="1"/>
      <c r="GD1199" s="1"/>
      <c r="GE1199" s="1"/>
      <c r="GF1199" s="1"/>
      <c r="GG1199" s="1"/>
      <c r="GH1199" s="1"/>
      <c r="GI1199" s="1"/>
      <c r="GJ1199" s="1"/>
      <c r="GK1199" s="1"/>
      <c r="GL1199" s="1"/>
      <c r="GM1199" s="1"/>
      <c r="GN1199" s="1"/>
      <c r="GO1199" s="1"/>
      <c r="GP1199" s="1"/>
      <c r="GQ1199" s="1"/>
      <c r="GR1199" s="1"/>
      <c r="GS1199" s="1"/>
      <c r="GT1199" s="1"/>
      <c r="GU1199" s="1"/>
      <c r="GV1199" s="1"/>
      <c r="GW1199" s="1"/>
      <c r="GX1199" s="1"/>
      <c r="GY1199" s="1"/>
      <c r="GZ1199" s="1"/>
      <c r="HA1199" s="1"/>
      <c r="HB1199" s="1"/>
      <c r="HC1199" s="1"/>
      <c r="HD1199" s="1"/>
      <c r="HE1199" s="1"/>
      <c r="HF1199" s="1"/>
      <c r="HG1199" s="1"/>
      <c r="HH1199" s="1"/>
    </row>
    <row r="1200" spans="1:216" x14ac:dyDescent="0.3">
      <c r="A1200" s="3"/>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c r="FT1200" s="1"/>
      <c r="FU1200" s="1"/>
      <c r="FV1200" s="1"/>
      <c r="FW1200" s="1"/>
      <c r="FX1200" s="1"/>
      <c r="FY1200" s="1"/>
      <c r="FZ1200" s="1"/>
      <c r="GA1200" s="1"/>
      <c r="GB1200" s="1"/>
      <c r="GC1200" s="1"/>
      <c r="GD1200" s="1"/>
      <c r="GE1200" s="1"/>
      <c r="GF1200" s="1"/>
      <c r="GG1200" s="1"/>
      <c r="GH1200" s="1"/>
      <c r="GI1200" s="1"/>
      <c r="GJ1200" s="1"/>
      <c r="GK1200" s="1"/>
      <c r="GL1200" s="1"/>
      <c r="GM1200" s="1"/>
      <c r="GN1200" s="1"/>
      <c r="GO1200" s="1"/>
      <c r="GP1200" s="1"/>
      <c r="GQ1200" s="1"/>
      <c r="GR1200" s="1"/>
      <c r="GS1200" s="1"/>
      <c r="GT1200" s="1"/>
      <c r="GU1200" s="1"/>
      <c r="GV1200" s="1"/>
      <c r="GW1200" s="1"/>
      <c r="GX1200" s="1"/>
      <c r="GY1200" s="1"/>
      <c r="GZ1200" s="1"/>
      <c r="HA1200" s="1"/>
      <c r="HB1200" s="1"/>
      <c r="HC1200" s="1"/>
      <c r="HD1200" s="1"/>
      <c r="HE1200" s="1"/>
      <c r="HF1200" s="1"/>
      <c r="HG1200" s="1"/>
      <c r="HH1200" s="1"/>
    </row>
    <row r="1201" spans="1:216" x14ac:dyDescent="0.3">
      <c r="A1201" s="3"/>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c r="FT1201" s="1"/>
      <c r="FU1201" s="1"/>
      <c r="FV1201" s="1"/>
      <c r="FW1201" s="1"/>
      <c r="FX1201" s="1"/>
      <c r="FY1201" s="1"/>
      <c r="FZ1201" s="1"/>
      <c r="GA1201" s="1"/>
      <c r="GB1201" s="1"/>
      <c r="GC1201" s="1"/>
      <c r="GD1201" s="1"/>
      <c r="GE1201" s="1"/>
      <c r="GF1201" s="1"/>
      <c r="GG1201" s="1"/>
      <c r="GH1201" s="1"/>
      <c r="GI1201" s="1"/>
      <c r="GJ1201" s="1"/>
      <c r="GK1201" s="1"/>
      <c r="GL1201" s="1"/>
      <c r="GM1201" s="1"/>
      <c r="GN1201" s="1"/>
      <c r="GO1201" s="1"/>
      <c r="GP1201" s="1"/>
      <c r="GQ1201" s="1"/>
      <c r="GR1201" s="1"/>
      <c r="GS1201" s="1"/>
      <c r="GT1201" s="1"/>
      <c r="GU1201" s="1"/>
      <c r="GV1201" s="1"/>
      <c r="GW1201" s="1"/>
      <c r="GX1201" s="1"/>
      <c r="GY1201" s="1"/>
      <c r="GZ1201" s="1"/>
      <c r="HA1201" s="1"/>
      <c r="HB1201" s="1"/>
      <c r="HC1201" s="1"/>
      <c r="HD1201" s="1"/>
      <c r="HE1201" s="1"/>
      <c r="HF1201" s="1"/>
      <c r="HG1201" s="1"/>
      <c r="HH1201" s="1"/>
    </row>
    <row r="1202" spans="1:216" x14ac:dyDescent="0.3">
      <c r="A1202" s="3"/>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c r="FT1202" s="1"/>
      <c r="FU1202" s="1"/>
      <c r="FV1202" s="1"/>
      <c r="FW1202" s="1"/>
      <c r="FX1202" s="1"/>
      <c r="FY1202" s="1"/>
      <c r="FZ1202" s="1"/>
      <c r="GA1202" s="1"/>
      <c r="GB1202" s="1"/>
      <c r="GC1202" s="1"/>
      <c r="GD1202" s="1"/>
      <c r="GE1202" s="1"/>
      <c r="GF1202" s="1"/>
      <c r="GG1202" s="1"/>
      <c r="GH1202" s="1"/>
      <c r="GI1202" s="1"/>
      <c r="GJ1202" s="1"/>
      <c r="GK1202" s="1"/>
      <c r="GL1202" s="1"/>
      <c r="GM1202" s="1"/>
      <c r="GN1202" s="1"/>
      <c r="GO1202" s="1"/>
      <c r="GP1202" s="1"/>
      <c r="GQ1202" s="1"/>
      <c r="GR1202" s="1"/>
      <c r="GS1202" s="1"/>
      <c r="GT1202" s="1"/>
      <c r="GU1202" s="1"/>
      <c r="GV1202" s="1"/>
      <c r="GW1202" s="1"/>
      <c r="GX1202" s="1"/>
      <c r="GY1202" s="1"/>
      <c r="GZ1202" s="1"/>
      <c r="HA1202" s="1"/>
      <c r="HB1202" s="1"/>
      <c r="HC1202" s="1"/>
      <c r="HD1202" s="1"/>
      <c r="HE1202" s="1"/>
      <c r="HF1202" s="1"/>
      <c r="HG1202" s="1"/>
      <c r="HH1202" s="1"/>
    </row>
    <row r="1203" spans="1:216" x14ac:dyDescent="0.3">
      <c r="A1203" s="3"/>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c r="FT1203" s="1"/>
      <c r="FU1203" s="1"/>
      <c r="FV1203" s="1"/>
      <c r="FW1203" s="1"/>
      <c r="FX1203" s="1"/>
      <c r="FY1203" s="1"/>
      <c r="FZ1203" s="1"/>
      <c r="GA1203" s="1"/>
      <c r="GB1203" s="1"/>
      <c r="GC1203" s="1"/>
      <c r="GD1203" s="1"/>
      <c r="GE1203" s="1"/>
      <c r="GF1203" s="1"/>
      <c r="GG1203" s="1"/>
      <c r="GH1203" s="1"/>
      <c r="GI1203" s="1"/>
      <c r="GJ1203" s="1"/>
      <c r="GK1203" s="1"/>
      <c r="GL1203" s="1"/>
      <c r="GM1203" s="1"/>
      <c r="GN1203" s="1"/>
      <c r="GO1203" s="1"/>
      <c r="GP1203" s="1"/>
      <c r="GQ1203" s="1"/>
      <c r="GR1203" s="1"/>
      <c r="GS1203" s="1"/>
      <c r="GT1203" s="1"/>
      <c r="GU1203" s="1"/>
      <c r="GV1203" s="1"/>
      <c r="GW1203" s="1"/>
      <c r="GX1203" s="1"/>
      <c r="GY1203" s="1"/>
      <c r="GZ1203" s="1"/>
      <c r="HA1203" s="1"/>
      <c r="HB1203" s="1"/>
      <c r="HC1203" s="1"/>
      <c r="HD1203" s="1"/>
      <c r="HE1203" s="1"/>
      <c r="HF1203" s="1"/>
      <c r="HG1203" s="1"/>
      <c r="HH1203" s="1"/>
    </row>
    <row r="1204" spans="1:216" x14ac:dyDescent="0.3">
      <c r="A1204" s="3"/>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c r="FT1204" s="1"/>
      <c r="FU1204" s="1"/>
      <c r="FV1204" s="1"/>
      <c r="FW1204" s="1"/>
      <c r="FX1204" s="1"/>
      <c r="FY1204" s="1"/>
      <c r="FZ1204" s="1"/>
      <c r="GA1204" s="1"/>
      <c r="GB1204" s="1"/>
      <c r="GC1204" s="1"/>
      <c r="GD1204" s="1"/>
      <c r="GE1204" s="1"/>
      <c r="GF1204" s="1"/>
      <c r="GG1204" s="1"/>
      <c r="GH1204" s="1"/>
      <c r="GI1204" s="1"/>
      <c r="GJ1204" s="1"/>
      <c r="GK1204" s="1"/>
      <c r="GL1204" s="1"/>
      <c r="GM1204" s="1"/>
      <c r="GN1204" s="1"/>
      <c r="GO1204" s="1"/>
      <c r="GP1204" s="1"/>
      <c r="GQ1204" s="1"/>
      <c r="GR1204" s="1"/>
      <c r="GS1204" s="1"/>
      <c r="GT1204" s="1"/>
      <c r="GU1204" s="1"/>
      <c r="GV1204" s="1"/>
      <c r="GW1204" s="1"/>
      <c r="GX1204" s="1"/>
      <c r="GY1204" s="1"/>
      <c r="GZ1204" s="1"/>
      <c r="HA1204" s="1"/>
      <c r="HB1204" s="1"/>
      <c r="HC1204" s="1"/>
      <c r="HD1204" s="1"/>
      <c r="HE1204" s="1"/>
      <c r="HF1204" s="1"/>
      <c r="HG1204" s="1"/>
      <c r="HH1204" s="1"/>
    </row>
    <row r="1205" spans="1:216" x14ac:dyDescent="0.3">
      <c r="A1205" s="3"/>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c r="FT1205" s="1"/>
      <c r="FU1205" s="1"/>
      <c r="FV1205" s="1"/>
      <c r="FW1205" s="1"/>
      <c r="FX1205" s="1"/>
      <c r="FY1205" s="1"/>
      <c r="FZ1205" s="1"/>
      <c r="GA1205" s="1"/>
      <c r="GB1205" s="1"/>
      <c r="GC1205" s="1"/>
      <c r="GD1205" s="1"/>
      <c r="GE1205" s="1"/>
      <c r="GF1205" s="1"/>
      <c r="GG1205" s="1"/>
      <c r="GH1205" s="1"/>
      <c r="GI1205" s="1"/>
      <c r="GJ1205" s="1"/>
      <c r="GK1205" s="1"/>
      <c r="GL1205" s="1"/>
      <c r="GM1205" s="1"/>
      <c r="GN1205" s="1"/>
      <c r="GO1205" s="1"/>
      <c r="GP1205" s="1"/>
      <c r="GQ1205" s="1"/>
      <c r="GR1205" s="1"/>
      <c r="GS1205" s="1"/>
      <c r="GT1205" s="1"/>
      <c r="GU1205" s="1"/>
      <c r="GV1205" s="1"/>
      <c r="GW1205" s="1"/>
      <c r="GX1205" s="1"/>
      <c r="GY1205" s="1"/>
      <c r="GZ1205" s="1"/>
      <c r="HA1205" s="1"/>
      <c r="HB1205" s="1"/>
      <c r="HC1205" s="1"/>
      <c r="HD1205" s="1"/>
      <c r="HE1205" s="1"/>
      <c r="HF1205" s="1"/>
      <c r="HG1205" s="1"/>
      <c r="HH1205" s="1"/>
    </row>
    <row r="1206" spans="1:216" x14ac:dyDescent="0.3">
      <c r="A1206" s="3"/>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c r="FT1206" s="1"/>
      <c r="FU1206" s="1"/>
      <c r="FV1206" s="1"/>
      <c r="FW1206" s="1"/>
      <c r="FX1206" s="1"/>
      <c r="FY1206" s="1"/>
      <c r="FZ1206" s="1"/>
      <c r="GA1206" s="1"/>
      <c r="GB1206" s="1"/>
      <c r="GC1206" s="1"/>
      <c r="GD1206" s="1"/>
      <c r="GE1206" s="1"/>
      <c r="GF1206" s="1"/>
      <c r="GG1206" s="1"/>
      <c r="GH1206" s="1"/>
      <c r="GI1206" s="1"/>
      <c r="GJ1206" s="1"/>
      <c r="GK1206" s="1"/>
      <c r="GL1206" s="1"/>
      <c r="GM1206" s="1"/>
      <c r="GN1206" s="1"/>
      <c r="GO1206" s="1"/>
      <c r="GP1206" s="1"/>
      <c r="GQ1206" s="1"/>
      <c r="GR1206" s="1"/>
      <c r="GS1206" s="1"/>
      <c r="GT1206" s="1"/>
      <c r="GU1206" s="1"/>
      <c r="GV1206" s="1"/>
      <c r="GW1206" s="1"/>
      <c r="GX1206" s="1"/>
      <c r="GY1206" s="1"/>
      <c r="GZ1206" s="1"/>
      <c r="HA1206" s="1"/>
      <c r="HB1206" s="1"/>
      <c r="HC1206" s="1"/>
      <c r="HD1206" s="1"/>
      <c r="HE1206" s="1"/>
      <c r="HF1206" s="1"/>
      <c r="HG1206" s="1"/>
      <c r="HH1206" s="1"/>
    </row>
    <row r="1207" spans="1:216" x14ac:dyDescent="0.3">
      <c r="A1207" s="3"/>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c r="FT1207" s="1"/>
      <c r="FU1207" s="1"/>
      <c r="FV1207" s="1"/>
      <c r="FW1207" s="1"/>
      <c r="FX1207" s="1"/>
      <c r="FY1207" s="1"/>
      <c r="FZ1207" s="1"/>
      <c r="GA1207" s="1"/>
      <c r="GB1207" s="1"/>
      <c r="GC1207" s="1"/>
      <c r="GD1207" s="1"/>
      <c r="GE1207" s="1"/>
      <c r="GF1207" s="1"/>
      <c r="GG1207" s="1"/>
      <c r="GH1207" s="1"/>
      <c r="GI1207" s="1"/>
      <c r="GJ1207" s="1"/>
      <c r="GK1207" s="1"/>
      <c r="GL1207" s="1"/>
      <c r="GM1207" s="1"/>
      <c r="GN1207" s="1"/>
      <c r="GO1207" s="1"/>
      <c r="GP1207" s="1"/>
      <c r="GQ1207" s="1"/>
      <c r="GR1207" s="1"/>
      <c r="GS1207" s="1"/>
      <c r="GT1207" s="1"/>
      <c r="GU1207" s="1"/>
      <c r="GV1207" s="1"/>
      <c r="GW1207" s="1"/>
      <c r="GX1207" s="1"/>
      <c r="GY1207" s="1"/>
      <c r="GZ1207" s="1"/>
      <c r="HA1207" s="1"/>
      <c r="HB1207" s="1"/>
      <c r="HC1207" s="1"/>
      <c r="HD1207" s="1"/>
      <c r="HE1207" s="1"/>
      <c r="HF1207" s="1"/>
      <c r="HG1207" s="1"/>
      <c r="HH1207" s="1"/>
    </row>
    <row r="1208" spans="1:216" x14ac:dyDescent="0.3">
      <c r="A1208" s="3"/>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c r="FT1208" s="1"/>
      <c r="FU1208" s="1"/>
      <c r="FV1208" s="1"/>
      <c r="FW1208" s="1"/>
      <c r="FX1208" s="1"/>
      <c r="FY1208" s="1"/>
      <c r="FZ1208" s="1"/>
      <c r="GA1208" s="1"/>
      <c r="GB1208" s="1"/>
      <c r="GC1208" s="1"/>
      <c r="GD1208" s="1"/>
      <c r="GE1208" s="1"/>
      <c r="GF1208" s="1"/>
      <c r="GG1208" s="1"/>
      <c r="GH1208" s="1"/>
      <c r="GI1208" s="1"/>
      <c r="GJ1208" s="1"/>
      <c r="GK1208" s="1"/>
      <c r="GL1208" s="1"/>
      <c r="GM1208" s="1"/>
      <c r="GN1208" s="1"/>
      <c r="GO1208" s="1"/>
      <c r="GP1208" s="1"/>
      <c r="GQ1208" s="1"/>
      <c r="GR1208" s="1"/>
      <c r="GS1208" s="1"/>
      <c r="GT1208" s="1"/>
      <c r="GU1208" s="1"/>
      <c r="GV1208" s="1"/>
      <c r="GW1208" s="1"/>
      <c r="GX1208" s="1"/>
      <c r="GY1208" s="1"/>
      <c r="GZ1208" s="1"/>
      <c r="HA1208" s="1"/>
      <c r="HB1208" s="1"/>
      <c r="HC1208" s="1"/>
      <c r="HD1208" s="1"/>
      <c r="HE1208" s="1"/>
      <c r="HF1208" s="1"/>
      <c r="HG1208" s="1"/>
      <c r="HH1208" s="1"/>
    </row>
    <row r="1209" spans="1:216" x14ac:dyDescent="0.3">
      <c r="A1209" s="3"/>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1"/>
      <c r="GD1209" s="1"/>
      <c r="GE1209" s="1"/>
      <c r="GF1209" s="1"/>
      <c r="GG1209" s="1"/>
      <c r="GH1209" s="1"/>
      <c r="GI1209" s="1"/>
      <c r="GJ1209" s="1"/>
      <c r="GK1209" s="1"/>
      <c r="GL1209" s="1"/>
      <c r="GM1209" s="1"/>
      <c r="GN1209" s="1"/>
      <c r="GO1209" s="1"/>
      <c r="GP1209" s="1"/>
      <c r="GQ1209" s="1"/>
      <c r="GR1209" s="1"/>
      <c r="GS1209" s="1"/>
      <c r="GT1209" s="1"/>
      <c r="GU1209" s="1"/>
      <c r="GV1209" s="1"/>
      <c r="GW1209" s="1"/>
      <c r="GX1209" s="1"/>
      <c r="GY1209" s="1"/>
      <c r="GZ1209" s="1"/>
      <c r="HA1209" s="1"/>
      <c r="HB1209" s="1"/>
      <c r="HC1209" s="1"/>
      <c r="HD1209" s="1"/>
      <c r="HE1209" s="1"/>
      <c r="HF1209" s="1"/>
      <c r="HG1209" s="1"/>
      <c r="HH1209" s="1"/>
    </row>
    <row r="1210" spans="1:216" x14ac:dyDescent="0.3">
      <c r="A1210" s="3"/>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c r="FT1210" s="1"/>
      <c r="FU1210" s="1"/>
      <c r="FV1210" s="1"/>
      <c r="FW1210" s="1"/>
      <c r="FX1210" s="1"/>
      <c r="FY1210" s="1"/>
      <c r="FZ1210" s="1"/>
      <c r="GA1210" s="1"/>
      <c r="GB1210" s="1"/>
      <c r="GC1210" s="1"/>
      <c r="GD1210" s="1"/>
      <c r="GE1210" s="1"/>
      <c r="GF1210" s="1"/>
      <c r="GG1210" s="1"/>
      <c r="GH1210" s="1"/>
      <c r="GI1210" s="1"/>
      <c r="GJ1210" s="1"/>
      <c r="GK1210" s="1"/>
      <c r="GL1210" s="1"/>
      <c r="GM1210" s="1"/>
      <c r="GN1210" s="1"/>
      <c r="GO1210" s="1"/>
      <c r="GP1210" s="1"/>
      <c r="GQ1210" s="1"/>
      <c r="GR1210" s="1"/>
      <c r="GS1210" s="1"/>
      <c r="GT1210" s="1"/>
      <c r="GU1210" s="1"/>
      <c r="GV1210" s="1"/>
      <c r="GW1210" s="1"/>
      <c r="GX1210" s="1"/>
      <c r="GY1210" s="1"/>
      <c r="GZ1210" s="1"/>
      <c r="HA1210" s="1"/>
      <c r="HB1210" s="1"/>
      <c r="HC1210" s="1"/>
      <c r="HD1210" s="1"/>
      <c r="HE1210" s="1"/>
      <c r="HF1210" s="1"/>
      <c r="HG1210" s="1"/>
      <c r="HH1210" s="1"/>
    </row>
    <row r="1211" spans="1:216" x14ac:dyDescent="0.3">
      <c r="A1211" s="3"/>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c r="FT1211" s="1"/>
      <c r="FU1211" s="1"/>
      <c r="FV1211" s="1"/>
      <c r="FW1211" s="1"/>
      <c r="FX1211" s="1"/>
      <c r="FY1211" s="1"/>
      <c r="FZ1211" s="1"/>
      <c r="GA1211" s="1"/>
      <c r="GB1211" s="1"/>
      <c r="GC1211" s="1"/>
      <c r="GD1211" s="1"/>
      <c r="GE1211" s="1"/>
      <c r="GF1211" s="1"/>
      <c r="GG1211" s="1"/>
      <c r="GH1211" s="1"/>
      <c r="GI1211" s="1"/>
      <c r="GJ1211" s="1"/>
      <c r="GK1211" s="1"/>
      <c r="GL1211" s="1"/>
      <c r="GM1211" s="1"/>
      <c r="GN1211" s="1"/>
      <c r="GO1211" s="1"/>
      <c r="GP1211" s="1"/>
      <c r="GQ1211" s="1"/>
      <c r="GR1211" s="1"/>
      <c r="GS1211" s="1"/>
      <c r="GT1211" s="1"/>
      <c r="GU1211" s="1"/>
      <c r="GV1211" s="1"/>
      <c r="GW1211" s="1"/>
      <c r="GX1211" s="1"/>
      <c r="GY1211" s="1"/>
      <c r="GZ1211" s="1"/>
      <c r="HA1211" s="1"/>
      <c r="HB1211" s="1"/>
      <c r="HC1211" s="1"/>
      <c r="HD1211" s="1"/>
      <c r="HE1211" s="1"/>
      <c r="HF1211" s="1"/>
      <c r="HG1211" s="1"/>
      <c r="HH1211" s="1"/>
    </row>
    <row r="1212" spans="1:216" x14ac:dyDescent="0.3">
      <c r="A1212" s="3"/>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c r="FT1212" s="1"/>
      <c r="FU1212" s="1"/>
      <c r="FV1212" s="1"/>
      <c r="FW1212" s="1"/>
      <c r="FX1212" s="1"/>
      <c r="FY1212" s="1"/>
      <c r="FZ1212" s="1"/>
      <c r="GA1212" s="1"/>
      <c r="GB1212" s="1"/>
      <c r="GC1212" s="1"/>
      <c r="GD1212" s="1"/>
      <c r="GE1212" s="1"/>
      <c r="GF1212" s="1"/>
      <c r="GG1212" s="1"/>
      <c r="GH1212" s="1"/>
      <c r="GI1212" s="1"/>
      <c r="GJ1212" s="1"/>
      <c r="GK1212" s="1"/>
      <c r="GL1212" s="1"/>
      <c r="GM1212" s="1"/>
      <c r="GN1212" s="1"/>
      <c r="GO1212" s="1"/>
      <c r="GP1212" s="1"/>
      <c r="GQ1212" s="1"/>
      <c r="GR1212" s="1"/>
      <c r="GS1212" s="1"/>
      <c r="GT1212" s="1"/>
      <c r="GU1212" s="1"/>
      <c r="GV1212" s="1"/>
      <c r="GW1212" s="1"/>
      <c r="GX1212" s="1"/>
      <c r="GY1212" s="1"/>
      <c r="GZ1212" s="1"/>
      <c r="HA1212" s="1"/>
      <c r="HB1212" s="1"/>
      <c r="HC1212" s="1"/>
      <c r="HD1212" s="1"/>
      <c r="HE1212" s="1"/>
      <c r="HF1212" s="1"/>
      <c r="HG1212" s="1"/>
      <c r="HH1212" s="1"/>
    </row>
    <row r="1213" spans="1:216" x14ac:dyDescent="0.3">
      <c r="A1213" s="3"/>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c r="FT1213" s="1"/>
      <c r="FU1213" s="1"/>
      <c r="FV1213" s="1"/>
      <c r="FW1213" s="1"/>
      <c r="FX1213" s="1"/>
      <c r="FY1213" s="1"/>
      <c r="FZ1213" s="1"/>
      <c r="GA1213" s="1"/>
      <c r="GB1213" s="1"/>
      <c r="GC1213" s="1"/>
      <c r="GD1213" s="1"/>
      <c r="GE1213" s="1"/>
      <c r="GF1213" s="1"/>
      <c r="GG1213" s="1"/>
      <c r="GH1213" s="1"/>
      <c r="GI1213" s="1"/>
      <c r="GJ1213" s="1"/>
      <c r="GK1213" s="1"/>
      <c r="GL1213" s="1"/>
      <c r="GM1213" s="1"/>
      <c r="GN1213" s="1"/>
      <c r="GO1213" s="1"/>
      <c r="GP1213" s="1"/>
      <c r="GQ1213" s="1"/>
      <c r="GR1213" s="1"/>
      <c r="GS1213" s="1"/>
      <c r="GT1213" s="1"/>
      <c r="GU1213" s="1"/>
      <c r="GV1213" s="1"/>
      <c r="GW1213" s="1"/>
      <c r="GX1213" s="1"/>
      <c r="GY1213" s="1"/>
      <c r="GZ1213" s="1"/>
      <c r="HA1213" s="1"/>
      <c r="HB1213" s="1"/>
      <c r="HC1213" s="1"/>
      <c r="HD1213" s="1"/>
      <c r="HE1213" s="1"/>
      <c r="HF1213" s="1"/>
      <c r="HG1213" s="1"/>
      <c r="HH1213" s="1"/>
    </row>
    <row r="1214" spans="1:216" x14ac:dyDescent="0.3">
      <c r="A1214" s="3"/>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c r="FT1214" s="1"/>
      <c r="FU1214" s="1"/>
      <c r="FV1214" s="1"/>
      <c r="FW1214" s="1"/>
      <c r="FX1214" s="1"/>
      <c r="FY1214" s="1"/>
      <c r="FZ1214" s="1"/>
      <c r="GA1214" s="1"/>
      <c r="GB1214" s="1"/>
      <c r="GC1214" s="1"/>
      <c r="GD1214" s="1"/>
      <c r="GE1214" s="1"/>
      <c r="GF1214" s="1"/>
      <c r="GG1214" s="1"/>
      <c r="GH1214" s="1"/>
      <c r="GI1214" s="1"/>
      <c r="GJ1214" s="1"/>
      <c r="GK1214" s="1"/>
      <c r="GL1214" s="1"/>
      <c r="GM1214" s="1"/>
      <c r="GN1214" s="1"/>
      <c r="GO1214" s="1"/>
      <c r="GP1214" s="1"/>
      <c r="GQ1214" s="1"/>
      <c r="GR1214" s="1"/>
      <c r="GS1214" s="1"/>
      <c r="GT1214" s="1"/>
      <c r="GU1214" s="1"/>
      <c r="GV1214" s="1"/>
      <c r="GW1214" s="1"/>
      <c r="GX1214" s="1"/>
      <c r="GY1214" s="1"/>
      <c r="GZ1214" s="1"/>
      <c r="HA1214" s="1"/>
      <c r="HB1214" s="1"/>
      <c r="HC1214" s="1"/>
      <c r="HD1214" s="1"/>
      <c r="HE1214" s="1"/>
      <c r="HF1214" s="1"/>
      <c r="HG1214" s="1"/>
      <c r="HH1214" s="1"/>
    </row>
    <row r="1215" spans="1:216" x14ac:dyDescent="0.3">
      <c r="A1215" s="3"/>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c r="FT1215" s="1"/>
      <c r="FU1215" s="1"/>
      <c r="FV1215" s="1"/>
      <c r="FW1215" s="1"/>
      <c r="FX1215" s="1"/>
      <c r="FY1215" s="1"/>
      <c r="FZ1215" s="1"/>
      <c r="GA1215" s="1"/>
      <c r="GB1215" s="1"/>
      <c r="GC1215" s="1"/>
      <c r="GD1215" s="1"/>
      <c r="GE1215" s="1"/>
      <c r="GF1215" s="1"/>
      <c r="GG1215" s="1"/>
      <c r="GH1215" s="1"/>
      <c r="GI1215" s="1"/>
      <c r="GJ1215" s="1"/>
      <c r="GK1215" s="1"/>
      <c r="GL1215" s="1"/>
      <c r="GM1215" s="1"/>
      <c r="GN1215" s="1"/>
      <c r="GO1215" s="1"/>
      <c r="GP1215" s="1"/>
      <c r="GQ1215" s="1"/>
      <c r="GR1215" s="1"/>
      <c r="GS1215" s="1"/>
      <c r="GT1215" s="1"/>
      <c r="GU1215" s="1"/>
      <c r="GV1215" s="1"/>
      <c r="GW1215" s="1"/>
      <c r="GX1215" s="1"/>
      <c r="GY1215" s="1"/>
      <c r="GZ1215" s="1"/>
      <c r="HA1215" s="1"/>
      <c r="HB1215" s="1"/>
      <c r="HC1215" s="1"/>
      <c r="HD1215" s="1"/>
      <c r="HE1215" s="1"/>
      <c r="HF1215" s="1"/>
      <c r="HG1215" s="1"/>
      <c r="HH1215" s="1"/>
    </row>
    <row r="1216" spans="1:216" x14ac:dyDescent="0.3">
      <c r="A1216" s="3"/>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c r="FT1216" s="1"/>
      <c r="FU1216" s="1"/>
      <c r="FV1216" s="1"/>
      <c r="FW1216" s="1"/>
      <c r="FX1216" s="1"/>
      <c r="FY1216" s="1"/>
      <c r="FZ1216" s="1"/>
      <c r="GA1216" s="1"/>
      <c r="GB1216" s="1"/>
      <c r="GC1216" s="1"/>
      <c r="GD1216" s="1"/>
      <c r="GE1216" s="1"/>
      <c r="GF1216" s="1"/>
      <c r="GG1216" s="1"/>
      <c r="GH1216" s="1"/>
      <c r="GI1216" s="1"/>
      <c r="GJ1216" s="1"/>
      <c r="GK1216" s="1"/>
      <c r="GL1216" s="1"/>
      <c r="GM1216" s="1"/>
      <c r="GN1216" s="1"/>
      <c r="GO1216" s="1"/>
      <c r="GP1216" s="1"/>
      <c r="GQ1216" s="1"/>
      <c r="GR1216" s="1"/>
      <c r="GS1216" s="1"/>
      <c r="GT1216" s="1"/>
      <c r="GU1216" s="1"/>
      <c r="GV1216" s="1"/>
      <c r="GW1216" s="1"/>
      <c r="GX1216" s="1"/>
      <c r="GY1216" s="1"/>
      <c r="GZ1216" s="1"/>
      <c r="HA1216" s="1"/>
      <c r="HB1216" s="1"/>
      <c r="HC1216" s="1"/>
      <c r="HD1216" s="1"/>
      <c r="HE1216" s="1"/>
      <c r="HF1216" s="1"/>
      <c r="HG1216" s="1"/>
      <c r="HH1216" s="1"/>
    </row>
    <row r="1217" spans="1:216" x14ac:dyDescent="0.3">
      <c r="A1217" s="3"/>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c r="FT1217" s="1"/>
      <c r="FU1217" s="1"/>
      <c r="FV1217" s="1"/>
      <c r="FW1217" s="1"/>
      <c r="FX1217" s="1"/>
      <c r="FY1217" s="1"/>
      <c r="FZ1217" s="1"/>
      <c r="GA1217" s="1"/>
      <c r="GB1217" s="1"/>
      <c r="GC1217" s="1"/>
      <c r="GD1217" s="1"/>
      <c r="GE1217" s="1"/>
      <c r="GF1217" s="1"/>
      <c r="GG1217" s="1"/>
      <c r="GH1217" s="1"/>
      <c r="GI1217" s="1"/>
      <c r="GJ1217" s="1"/>
      <c r="GK1217" s="1"/>
      <c r="GL1217" s="1"/>
      <c r="GM1217" s="1"/>
      <c r="GN1217" s="1"/>
      <c r="GO1217" s="1"/>
      <c r="GP1217" s="1"/>
      <c r="GQ1217" s="1"/>
      <c r="GR1217" s="1"/>
      <c r="GS1217" s="1"/>
      <c r="GT1217" s="1"/>
      <c r="GU1217" s="1"/>
      <c r="GV1217" s="1"/>
      <c r="GW1217" s="1"/>
      <c r="GX1217" s="1"/>
      <c r="GY1217" s="1"/>
      <c r="GZ1217" s="1"/>
      <c r="HA1217" s="1"/>
      <c r="HB1217" s="1"/>
      <c r="HC1217" s="1"/>
      <c r="HD1217" s="1"/>
      <c r="HE1217" s="1"/>
      <c r="HF1217" s="1"/>
      <c r="HG1217" s="1"/>
      <c r="HH1217" s="1"/>
    </row>
    <row r="1218" spans="1:216" x14ac:dyDescent="0.3">
      <c r="A1218" s="3"/>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c r="FT1218" s="1"/>
      <c r="FU1218" s="1"/>
      <c r="FV1218" s="1"/>
      <c r="FW1218" s="1"/>
      <c r="FX1218" s="1"/>
      <c r="FY1218" s="1"/>
      <c r="FZ1218" s="1"/>
      <c r="GA1218" s="1"/>
      <c r="GB1218" s="1"/>
      <c r="GC1218" s="1"/>
      <c r="GD1218" s="1"/>
      <c r="GE1218" s="1"/>
      <c r="GF1218" s="1"/>
      <c r="GG1218" s="1"/>
      <c r="GH1218" s="1"/>
      <c r="GI1218" s="1"/>
      <c r="GJ1218" s="1"/>
      <c r="GK1218" s="1"/>
      <c r="GL1218" s="1"/>
      <c r="GM1218" s="1"/>
      <c r="GN1218" s="1"/>
      <c r="GO1218" s="1"/>
      <c r="GP1218" s="1"/>
      <c r="GQ1218" s="1"/>
      <c r="GR1218" s="1"/>
      <c r="GS1218" s="1"/>
      <c r="GT1218" s="1"/>
      <c r="GU1218" s="1"/>
      <c r="GV1218" s="1"/>
      <c r="GW1218" s="1"/>
      <c r="GX1218" s="1"/>
      <c r="GY1218" s="1"/>
      <c r="GZ1218" s="1"/>
      <c r="HA1218" s="1"/>
      <c r="HB1218" s="1"/>
      <c r="HC1218" s="1"/>
      <c r="HD1218" s="1"/>
      <c r="HE1218" s="1"/>
      <c r="HF1218" s="1"/>
      <c r="HG1218" s="1"/>
      <c r="HH1218" s="1"/>
    </row>
    <row r="1219" spans="1:216" x14ac:dyDescent="0.3">
      <c r="A1219" s="3"/>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c r="FT1219" s="1"/>
      <c r="FU1219" s="1"/>
      <c r="FV1219" s="1"/>
      <c r="FW1219" s="1"/>
      <c r="FX1219" s="1"/>
      <c r="FY1219" s="1"/>
      <c r="FZ1219" s="1"/>
      <c r="GA1219" s="1"/>
      <c r="GB1219" s="1"/>
      <c r="GC1219" s="1"/>
      <c r="GD1219" s="1"/>
      <c r="GE1219" s="1"/>
      <c r="GF1219" s="1"/>
      <c r="GG1219" s="1"/>
      <c r="GH1219" s="1"/>
      <c r="GI1219" s="1"/>
      <c r="GJ1219" s="1"/>
      <c r="GK1219" s="1"/>
      <c r="GL1219" s="1"/>
      <c r="GM1219" s="1"/>
      <c r="GN1219" s="1"/>
      <c r="GO1219" s="1"/>
      <c r="GP1219" s="1"/>
      <c r="GQ1219" s="1"/>
      <c r="GR1219" s="1"/>
      <c r="GS1219" s="1"/>
      <c r="GT1219" s="1"/>
      <c r="GU1219" s="1"/>
      <c r="GV1219" s="1"/>
      <c r="GW1219" s="1"/>
      <c r="GX1219" s="1"/>
      <c r="GY1219" s="1"/>
      <c r="GZ1219" s="1"/>
      <c r="HA1219" s="1"/>
      <c r="HB1219" s="1"/>
      <c r="HC1219" s="1"/>
      <c r="HD1219" s="1"/>
      <c r="HE1219" s="1"/>
      <c r="HF1219" s="1"/>
      <c r="HG1219" s="1"/>
      <c r="HH1219" s="1"/>
    </row>
    <row r="1220" spans="1:216" x14ac:dyDescent="0.3">
      <c r="A1220" s="3"/>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1"/>
      <c r="GD1220" s="1"/>
      <c r="GE1220" s="1"/>
      <c r="GF1220" s="1"/>
      <c r="GG1220" s="1"/>
      <c r="GH1220" s="1"/>
      <c r="GI1220" s="1"/>
      <c r="GJ1220" s="1"/>
      <c r="GK1220" s="1"/>
      <c r="GL1220" s="1"/>
      <c r="GM1220" s="1"/>
      <c r="GN1220" s="1"/>
      <c r="GO1220" s="1"/>
      <c r="GP1220" s="1"/>
      <c r="GQ1220" s="1"/>
      <c r="GR1220" s="1"/>
      <c r="GS1220" s="1"/>
      <c r="GT1220" s="1"/>
      <c r="GU1220" s="1"/>
      <c r="GV1220" s="1"/>
      <c r="GW1220" s="1"/>
      <c r="GX1220" s="1"/>
      <c r="GY1220" s="1"/>
      <c r="GZ1220" s="1"/>
      <c r="HA1220" s="1"/>
      <c r="HB1220" s="1"/>
      <c r="HC1220" s="1"/>
      <c r="HD1220" s="1"/>
      <c r="HE1220" s="1"/>
      <c r="HF1220" s="1"/>
      <c r="HG1220" s="1"/>
      <c r="HH1220" s="1"/>
    </row>
    <row r="1221" spans="1:216" x14ac:dyDescent="0.3">
      <c r="A1221" s="3"/>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c r="FT1221" s="1"/>
      <c r="FU1221" s="1"/>
      <c r="FV1221" s="1"/>
      <c r="FW1221" s="1"/>
      <c r="FX1221" s="1"/>
      <c r="FY1221" s="1"/>
      <c r="FZ1221" s="1"/>
      <c r="GA1221" s="1"/>
      <c r="GB1221" s="1"/>
      <c r="GC1221" s="1"/>
      <c r="GD1221" s="1"/>
      <c r="GE1221" s="1"/>
      <c r="GF1221" s="1"/>
      <c r="GG1221" s="1"/>
      <c r="GH1221" s="1"/>
      <c r="GI1221" s="1"/>
      <c r="GJ1221" s="1"/>
      <c r="GK1221" s="1"/>
      <c r="GL1221" s="1"/>
      <c r="GM1221" s="1"/>
      <c r="GN1221" s="1"/>
      <c r="GO1221" s="1"/>
      <c r="GP1221" s="1"/>
      <c r="GQ1221" s="1"/>
      <c r="GR1221" s="1"/>
      <c r="GS1221" s="1"/>
      <c r="GT1221" s="1"/>
      <c r="GU1221" s="1"/>
      <c r="GV1221" s="1"/>
      <c r="GW1221" s="1"/>
      <c r="GX1221" s="1"/>
      <c r="GY1221" s="1"/>
      <c r="GZ1221" s="1"/>
      <c r="HA1221" s="1"/>
      <c r="HB1221" s="1"/>
      <c r="HC1221" s="1"/>
      <c r="HD1221" s="1"/>
      <c r="HE1221" s="1"/>
      <c r="HF1221" s="1"/>
      <c r="HG1221" s="1"/>
      <c r="HH1221" s="1"/>
    </row>
    <row r="1222" spans="1:216" x14ac:dyDescent="0.3">
      <c r="A1222" s="3"/>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c r="FT1222" s="1"/>
      <c r="FU1222" s="1"/>
      <c r="FV1222" s="1"/>
      <c r="FW1222" s="1"/>
      <c r="FX1222" s="1"/>
      <c r="FY1222" s="1"/>
      <c r="FZ1222" s="1"/>
      <c r="GA1222" s="1"/>
      <c r="GB1222" s="1"/>
      <c r="GC1222" s="1"/>
      <c r="GD1222" s="1"/>
      <c r="GE1222" s="1"/>
      <c r="GF1222" s="1"/>
      <c r="GG1222" s="1"/>
      <c r="GH1222" s="1"/>
      <c r="GI1222" s="1"/>
      <c r="GJ1222" s="1"/>
      <c r="GK1222" s="1"/>
      <c r="GL1222" s="1"/>
      <c r="GM1222" s="1"/>
      <c r="GN1222" s="1"/>
      <c r="GO1222" s="1"/>
      <c r="GP1222" s="1"/>
      <c r="GQ1222" s="1"/>
      <c r="GR1222" s="1"/>
      <c r="GS1222" s="1"/>
      <c r="GT1222" s="1"/>
      <c r="GU1222" s="1"/>
      <c r="GV1222" s="1"/>
      <c r="GW1222" s="1"/>
      <c r="GX1222" s="1"/>
      <c r="GY1222" s="1"/>
      <c r="GZ1222" s="1"/>
      <c r="HA1222" s="1"/>
      <c r="HB1222" s="1"/>
      <c r="HC1222" s="1"/>
      <c r="HD1222" s="1"/>
      <c r="HE1222" s="1"/>
      <c r="HF1222" s="1"/>
      <c r="HG1222" s="1"/>
      <c r="HH1222" s="1"/>
    </row>
    <row r="1223" spans="1:216" x14ac:dyDescent="0.3">
      <c r="A1223" s="3"/>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1"/>
      <c r="GD1223" s="1"/>
      <c r="GE1223" s="1"/>
      <c r="GF1223" s="1"/>
      <c r="GG1223" s="1"/>
      <c r="GH1223" s="1"/>
      <c r="GI1223" s="1"/>
      <c r="GJ1223" s="1"/>
      <c r="GK1223" s="1"/>
      <c r="GL1223" s="1"/>
      <c r="GM1223" s="1"/>
      <c r="GN1223" s="1"/>
      <c r="GO1223" s="1"/>
      <c r="GP1223" s="1"/>
      <c r="GQ1223" s="1"/>
      <c r="GR1223" s="1"/>
      <c r="GS1223" s="1"/>
      <c r="GT1223" s="1"/>
      <c r="GU1223" s="1"/>
      <c r="GV1223" s="1"/>
      <c r="GW1223" s="1"/>
      <c r="GX1223" s="1"/>
      <c r="GY1223" s="1"/>
      <c r="GZ1223" s="1"/>
      <c r="HA1223" s="1"/>
      <c r="HB1223" s="1"/>
      <c r="HC1223" s="1"/>
      <c r="HD1223" s="1"/>
      <c r="HE1223" s="1"/>
      <c r="HF1223" s="1"/>
      <c r="HG1223" s="1"/>
      <c r="HH1223" s="1"/>
    </row>
    <row r="1224" spans="1:216" x14ac:dyDescent="0.3">
      <c r="A1224" s="3"/>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c r="FT1224" s="1"/>
      <c r="FU1224" s="1"/>
      <c r="FV1224" s="1"/>
      <c r="FW1224" s="1"/>
      <c r="FX1224" s="1"/>
      <c r="FY1224" s="1"/>
      <c r="FZ1224" s="1"/>
      <c r="GA1224" s="1"/>
      <c r="GB1224" s="1"/>
      <c r="GC1224" s="1"/>
      <c r="GD1224" s="1"/>
      <c r="GE1224" s="1"/>
      <c r="GF1224" s="1"/>
      <c r="GG1224" s="1"/>
      <c r="GH1224" s="1"/>
      <c r="GI1224" s="1"/>
      <c r="GJ1224" s="1"/>
      <c r="GK1224" s="1"/>
      <c r="GL1224" s="1"/>
      <c r="GM1224" s="1"/>
      <c r="GN1224" s="1"/>
      <c r="GO1224" s="1"/>
      <c r="GP1224" s="1"/>
      <c r="GQ1224" s="1"/>
      <c r="GR1224" s="1"/>
      <c r="GS1224" s="1"/>
      <c r="GT1224" s="1"/>
      <c r="GU1224" s="1"/>
      <c r="GV1224" s="1"/>
      <c r="GW1224" s="1"/>
      <c r="GX1224" s="1"/>
      <c r="GY1224" s="1"/>
      <c r="GZ1224" s="1"/>
      <c r="HA1224" s="1"/>
      <c r="HB1224" s="1"/>
      <c r="HC1224" s="1"/>
      <c r="HD1224" s="1"/>
      <c r="HE1224" s="1"/>
      <c r="HF1224" s="1"/>
      <c r="HG1224" s="1"/>
      <c r="HH1224" s="1"/>
    </row>
    <row r="1225" spans="1:216" x14ac:dyDescent="0.3">
      <c r="A1225" s="3"/>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c r="FT1225" s="1"/>
      <c r="FU1225" s="1"/>
      <c r="FV1225" s="1"/>
      <c r="FW1225" s="1"/>
      <c r="FX1225" s="1"/>
      <c r="FY1225" s="1"/>
      <c r="FZ1225" s="1"/>
      <c r="GA1225" s="1"/>
      <c r="GB1225" s="1"/>
      <c r="GC1225" s="1"/>
      <c r="GD1225" s="1"/>
      <c r="GE1225" s="1"/>
      <c r="GF1225" s="1"/>
      <c r="GG1225" s="1"/>
      <c r="GH1225" s="1"/>
      <c r="GI1225" s="1"/>
      <c r="GJ1225" s="1"/>
      <c r="GK1225" s="1"/>
      <c r="GL1225" s="1"/>
      <c r="GM1225" s="1"/>
      <c r="GN1225" s="1"/>
      <c r="GO1225" s="1"/>
      <c r="GP1225" s="1"/>
      <c r="GQ1225" s="1"/>
      <c r="GR1225" s="1"/>
      <c r="GS1225" s="1"/>
      <c r="GT1225" s="1"/>
      <c r="GU1225" s="1"/>
      <c r="GV1225" s="1"/>
      <c r="GW1225" s="1"/>
      <c r="GX1225" s="1"/>
      <c r="GY1225" s="1"/>
      <c r="GZ1225" s="1"/>
      <c r="HA1225" s="1"/>
      <c r="HB1225" s="1"/>
      <c r="HC1225" s="1"/>
      <c r="HD1225" s="1"/>
      <c r="HE1225" s="1"/>
      <c r="HF1225" s="1"/>
      <c r="HG1225" s="1"/>
      <c r="HH1225" s="1"/>
    </row>
    <row r="1226" spans="1:216" x14ac:dyDescent="0.3">
      <c r="A1226" s="3"/>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c r="FT1226" s="1"/>
      <c r="FU1226" s="1"/>
      <c r="FV1226" s="1"/>
      <c r="FW1226" s="1"/>
      <c r="FX1226" s="1"/>
      <c r="FY1226" s="1"/>
      <c r="FZ1226" s="1"/>
      <c r="GA1226" s="1"/>
      <c r="GB1226" s="1"/>
      <c r="GC1226" s="1"/>
      <c r="GD1226" s="1"/>
      <c r="GE1226" s="1"/>
      <c r="GF1226" s="1"/>
      <c r="GG1226" s="1"/>
      <c r="GH1226" s="1"/>
      <c r="GI1226" s="1"/>
      <c r="GJ1226" s="1"/>
      <c r="GK1226" s="1"/>
      <c r="GL1226" s="1"/>
      <c r="GM1226" s="1"/>
      <c r="GN1226" s="1"/>
      <c r="GO1226" s="1"/>
      <c r="GP1226" s="1"/>
      <c r="GQ1226" s="1"/>
      <c r="GR1226" s="1"/>
      <c r="GS1226" s="1"/>
      <c r="GT1226" s="1"/>
      <c r="GU1226" s="1"/>
      <c r="GV1226" s="1"/>
      <c r="GW1226" s="1"/>
      <c r="GX1226" s="1"/>
      <c r="GY1226" s="1"/>
      <c r="GZ1226" s="1"/>
      <c r="HA1226" s="1"/>
      <c r="HB1226" s="1"/>
      <c r="HC1226" s="1"/>
      <c r="HD1226" s="1"/>
      <c r="HE1226" s="1"/>
      <c r="HF1226" s="1"/>
      <c r="HG1226" s="1"/>
      <c r="HH1226" s="1"/>
    </row>
    <row r="1227" spans="1:216" x14ac:dyDescent="0.3">
      <c r="A1227" s="3"/>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c r="FT1227" s="1"/>
      <c r="FU1227" s="1"/>
      <c r="FV1227" s="1"/>
      <c r="FW1227" s="1"/>
      <c r="FX1227" s="1"/>
      <c r="FY1227" s="1"/>
      <c r="FZ1227" s="1"/>
      <c r="GA1227" s="1"/>
      <c r="GB1227" s="1"/>
      <c r="GC1227" s="1"/>
      <c r="GD1227" s="1"/>
      <c r="GE1227" s="1"/>
      <c r="GF1227" s="1"/>
      <c r="GG1227" s="1"/>
      <c r="GH1227" s="1"/>
      <c r="GI1227" s="1"/>
      <c r="GJ1227" s="1"/>
      <c r="GK1227" s="1"/>
      <c r="GL1227" s="1"/>
      <c r="GM1227" s="1"/>
      <c r="GN1227" s="1"/>
      <c r="GO1227" s="1"/>
      <c r="GP1227" s="1"/>
      <c r="GQ1227" s="1"/>
      <c r="GR1227" s="1"/>
      <c r="GS1227" s="1"/>
      <c r="GT1227" s="1"/>
      <c r="GU1227" s="1"/>
      <c r="GV1227" s="1"/>
      <c r="GW1227" s="1"/>
      <c r="GX1227" s="1"/>
      <c r="GY1227" s="1"/>
      <c r="GZ1227" s="1"/>
      <c r="HA1227" s="1"/>
      <c r="HB1227" s="1"/>
      <c r="HC1227" s="1"/>
      <c r="HD1227" s="1"/>
      <c r="HE1227" s="1"/>
      <c r="HF1227" s="1"/>
      <c r="HG1227" s="1"/>
      <c r="HH1227" s="1"/>
    </row>
    <row r="1228" spans="1:216" x14ac:dyDescent="0.3">
      <c r="A1228" s="3"/>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c r="FT1228" s="1"/>
      <c r="FU1228" s="1"/>
      <c r="FV1228" s="1"/>
      <c r="FW1228" s="1"/>
      <c r="FX1228" s="1"/>
      <c r="FY1228" s="1"/>
      <c r="FZ1228" s="1"/>
      <c r="GA1228" s="1"/>
      <c r="GB1228" s="1"/>
      <c r="GC1228" s="1"/>
      <c r="GD1228" s="1"/>
      <c r="GE1228" s="1"/>
      <c r="GF1228" s="1"/>
      <c r="GG1228" s="1"/>
      <c r="GH1228" s="1"/>
      <c r="GI1228" s="1"/>
      <c r="GJ1228" s="1"/>
      <c r="GK1228" s="1"/>
      <c r="GL1228" s="1"/>
      <c r="GM1228" s="1"/>
      <c r="GN1228" s="1"/>
      <c r="GO1228" s="1"/>
      <c r="GP1228" s="1"/>
      <c r="GQ1228" s="1"/>
      <c r="GR1228" s="1"/>
      <c r="GS1228" s="1"/>
      <c r="GT1228" s="1"/>
      <c r="GU1228" s="1"/>
      <c r="GV1228" s="1"/>
      <c r="GW1228" s="1"/>
      <c r="GX1228" s="1"/>
      <c r="GY1228" s="1"/>
      <c r="GZ1228" s="1"/>
      <c r="HA1228" s="1"/>
      <c r="HB1228" s="1"/>
      <c r="HC1228" s="1"/>
      <c r="HD1228" s="1"/>
      <c r="HE1228" s="1"/>
      <c r="HF1228" s="1"/>
      <c r="HG1228" s="1"/>
      <c r="HH1228" s="1"/>
    </row>
    <row r="1229" spans="1:216" x14ac:dyDescent="0.3">
      <c r="A1229" s="3"/>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c r="FT1229" s="1"/>
      <c r="FU1229" s="1"/>
      <c r="FV1229" s="1"/>
      <c r="FW1229" s="1"/>
      <c r="FX1229" s="1"/>
      <c r="FY1229" s="1"/>
      <c r="FZ1229" s="1"/>
      <c r="GA1229" s="1"/>
      <c r="GB1229" s="1"/>
      <c r="GC1229" s="1"/>
      <c r="GD1229" s="1"/>
      <c r="GE1229" s="1"/>
      <c r="GF1229" s="1"/>
      <c r="GG1229" s="1"/>
      <c r="GH1229" s="1"/>
      <c r="GI1229" s="1"/>
      <c r="GJ1229" s="1"/>
      <c r="GK1229" s="1"/>
      <c r="GL1229" s="1"/>
      <c r="GM1229" s="1"/>
      <c r="GN1229" s="1"/>
      <c r="GO1229" s="1"/>
      <c r="GP1229" s="1"/>
      <c r="GQ1229" s="1"/>
      <c r="GR1229" s="1"/>
      <c r="GS1229" s="1"/>
      <c r="GT1229" s="1"/>
      <c r="GU1229" s="1"/>
      <c r="GV1229" s="1"/>
      <c r="GW1229" s="1"/>
      <c r="GX1229" s="1"/>
      <c r="GY1229" s="1"/>
      <c r="GZ1229" s="1"/>
      <c r="HA1229" s="1"/>
      <c r="HB1229" s="1"/>
      <c r="HC1229" s="1"/>
      <c r="HD1229" s="1"/>
      <c r="HE1229" s="1"/>
      <c r="HF1229" s="1"/>
      <c r="HG1229" s="1"/>
      <c r="HH1229" s="1"/>
    </row>
    <row r="1230" spans="1:216" x14ac:dyDescent="0.3">
      <c r="A1230" s="3"/>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c r="FT1230" s="1"/>
      <c r="FU1230" s="1"/>
      <c r="FV1230" s="1"/>
      <c r="FW1230" s="1"/>
      <c r="FX1230" s="1"/>
      <c r="FY1230" s="1"/>
      <c r="FZ1230" s="1"/>
      <c r="GA1230" s="1"/>
      <c r="GB1230" s="1"/>
      <c r="GC1230" s="1"/>
      <c r="GD1230" s="1"/>
      <c r="GE1230" s="1"/>
      <c r="GF1230" s="1"/>
      <c r="GG1230" s="1"/>
      <c r="GH1230" s="1"/>
      <c r="GI1230" s="1"/>
      <c r="GJ1230" s="1"/>
      <c r="GK1230" s="1"/>
      <c r="GL1230" s="1"/>
      <c r="GM1230" s="1"/>
      <c r="GN1230" s="1"/>
      <c r="GO1230" s="1"/>
      <c r="GP1230" s="1"/>
      <c r="GQ1230" s="1"/>
      <c r="GR1230" s="1"/>
      <c r="GS1230" s="1"/>
      <c r="GT1230" s="1"/>
      <c r="GU1230" s="1"/>
      <c r="GV1230" s="1"/>
      <c r="GW1230" s="1"/>
      <c r="GX1230" s="1"/>
      <c r="GY1230" s="1"/>
      <c r="GZ1230" s="1"/>
      <c r="HA1230" s="1"/>
      <c r="HB1230" s="1"/>
      <c r="HC1230" s="1"/>
      <c r="HD1230" s="1"/>
      <c r="HE1230" s="1"/>
      <c r="HF1230" s="1"/>
      <c r="HG1230" s="1"/>
      <c r="HH1230" s="1"/>
    </row>
    <row r="1231" spans="1:216" x14ac:dyDescent="0.3">
      <c r="A1231" s="3"/>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1"/>
      <c r="GD1231" s="1"/>
      <c r="GE1231" s="1"/>
      <c r="GF1231" s="1"/>
      <c r="GG1231" s="1"/>
      <c r="GH1231" s="1"/>
      <c r="GI1231" s="1"/>
      <c r="GJ1231" s="1"/>
      <c r="GK1231" s="1"/>
      <c r="GL1231" s="1"/>
      <c r="GM1231" s="1"/>
      <c r="GN1231" s="1"/>
      <c r="GO1231" s="1"/>
      <c r="GP1231" s="1"/>
      <c r="GQ1231" s="1"/>
      <c r="GR1231" s="1"/>
      <c r="GS1231" s="1"/>
      <c r="GT1231" s="1"/>
      <c r="GU1231" s="1"/>
      <c r="GV1231" s="1"/>
      <c r="GW1231" s="1"/>
      <c r="GX1231" s="1"/>
      <c r="GY1231" s="1"/>
      <c r="GZ1231" s="1"/>
      <c r="HA1231" s="1"/>
      <c r="HB1231" s="1"/>
      <c r="HC1231" s="1"/>
      <c r="HD1231" s="1"/>
      <c r="HE1231" s="1"/>
      <c r="HF1231" s="1"/>
      <c r="HG1231" s="1"/>
      <c r="HH1231" s="1"/>
    </row>
    <row r="1232" spans="1:216" x14ac:dyDescent="0.3">
      <c r="A1232" s="3"/>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1"/>
      <c r="GD1232" s="1"/>
      <c r="GE1232" s="1"/>
      <c r="GF1232" s="1"/>
      <c r="GG1232" s="1"/>
      <c r="GH1232" s="1"/>
      <c r="GI1232" s="1"/>
      <c r="GJ1232" s="1"/>
      <c r="GK1232" s="1"/>
      <c r="GL1232" s="1"/>
      <c r="GM1232" s="1"/>
      <c r="GN1232" s="1"/>
      <c r="GO1232" s="1"/>
      <c r="GP1232" s="1"/>
      <c r="GQ1232" s="1"/>
      <c r="GR1232" s="1"/>
      <c r="GS1232" s="1"/>
      <c r="GT1232" s="1"/>
      <c r="GU1232" s="1"/>
      <c r="GV1232" s="1"/>
      <c r="GW1232" s="1"/>
      <c r="GX1232" s="1"/>
      <c r="GY1232" s="1"/>
      <c r="GZ1232" s="1"/>
      <c r="HA1232" s="1"/>
      <c r="HB1232" s="1"/>
      <c r="HC1232" s="1"/>
      <c r="HD1232" s="1"/>
      <c r="HE1232" s="1"/>
      <c r="HF1232" s="1"/>
      <c r="HG1232" s="1"/>
      <c r="HH1232" s="1"/>
    </row>
    <row r="1233" spans="1:216" x14ac:dyDescent="0.3">
      <c r="A1233" s="3"/>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c r="FT1233" s="1"/>
      <c r="FU1233" s="1"/>
      <c r="FV1233" s="1"/>
      <c r="FW1233" s="1"/>
      <c r="FX1233" s="1"/>
      <c r="FY1233" s="1"/>
      <c r="FZ1233" s="1"/>
      <c r="GA1233" s="1"/>
      <c r="GB1233" s="1"/>
      <c r="GC1233" s="1"/>
      <c r="GD1233" s="1"/>
      <c r="GE1233" s="1"/>
      <c r="GF1233" s="1"/>
      <c r="GG1233" s="1"/>
      <c r="GH1233" s="1"/>
      <c r="GI1233" s="1"/>
      <c r="GJ1233" s="1"/>
      <c r="GK1233" s="1"/>
      <c r="GL1233" s="1"/>
      <c r="GM1233" s="1"/>
      <c r="GN1233" s="1"/>
      <c r="GO1233" s="1"/>
      <c r="GP1233" s="1"/>
      <c r="GQ1233" s="1"/>
      <c r="GR1233" s="1"/>
      <c r="GS1233" s="1"/>
      <c r="GT1233" s="1"/>
      <c r="GU1233" s="1"/>
      <c r="GV1233" s="1"/>
      <c r="GW1233" s="1"/>
      <c r="GX1233" s="1"/>
      <c r="GY1233" s="1"/>
      <c r="GZ1233" s="1"/>
      <c r="HA1233" s="1"/>
      <c r="HB1233" s="1"/>
      <c r="HC1233" s="1"/>
      <c r="HD1233" s="1"/>
      <c r="HE1233" s="1"/>
      <c r="HF1233" s="1"/>
      <c r="HG1233" s="1"/>
      <c r="HH1233" s="1"/>
    </row>
    <row r="1234" spans="1:216" x14ac:dyDescent="0.3">
      <c r="A1234" s="3"/>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c r="FT1234" s="1"/>
      <c r="FU1234" s="1"/>
      <c r="FV1234" s="1"/>
      <c r="FW1234" s="1"/>
      <c r="FX1234" s="1"/>
      <c r="FY1234" s="1"/>
      <c r="FZ1234" s="1"/>
      <c r="GA1234" s="1"/>
      <c r="GB1234" s="1"/>
      <c r="GC1234" s="1"/>
      <c r="GD1234" s="1"/>
      <c r="GE1234" s="1"/>
      <c r="GF1234" s="1"/>
      <c r="GG1234" s="1"/>
      <c r="GH1234" s="1"/>
      <c r="GI1234" s="1"/>
      <c r="GJ1234" s="1"/>
      <c r="GK1234" s="1"/>
      <c r="GL1234" s="1"/>
      <c r="GM1234" s="1"/>
      <c r="GN1234" s="1"/>
      <c r="GO1234" s="1"/>
      <c r="GP1234" s="1"/>
      <c r="GQ1234" s="1"/>
      <c r="GR1234" s="1"/>
      <c r="GS1234" s="1"/>
      <c r="GT1234" s="1"/>
      <c r="GU1234" s="1"/>
      <c r="GV1234" s="1"/>
      <c r="GW1234" s="1"/>
      <c r="GX1234" s="1"/>
      <c r="GY1234" s="1"/>
      <c r="GZ1234" s="1"/>
      <c r="HA1234" s="1"/>
      <c r="HB1234" s="1"/>
      <c r="HC1234" s="1"/>
      <c r="HD1234" s="1"/>
      <c r="HE1234" s="1"/>
      <c r="HF1234" s="1"/>
      <c r="HG1234" s="1"/>
      <c r="HH1234" s="1"/>
    </row>
    <row r="1235" spans="1:216" x14ac:dyDescent="0.3">
      <c r="A1235" s="3"/>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c r="FT1235" s="1"/>
      <c r="FU1235" s="1"/>
      <c r="FV1235" s="1"/>
      <c r="FW1235" s="1"/>
      <c r="FX1235" s="1"/>
      <c r="FY1235" s="1"/>
      <c r="FZ1235" s="1"/>
      <c r="GA1235" s="1"/>
      <c r="GB1235" s="1"/>
      <c r="GC1235" s="1"/>
      <c r="GD1235" s="1"/>
      <c r="GE1235" s="1"/>
      <c r="GF1235" s="1"/>
      <c r="GG1235" s="1"/>
      <c r="GH1235" s="1"/>
      <c r="GI1235" s="1"/>
      <c r="GJ1235" s="1"/>
      <c r="GK1235" s="1"/>
      <c r="GL1235" s="1"/>
      <c r="GM1235" s="1"/>
      <c r="GN1235" s="1"/>
      <c r="GO1235" s="1"/>
      <c r="GP1235" s="1"/>
      <c r="GQ1235" s="1"/>
      <c r="GR1235" s="1"/>
      <c r="GS1235" s="1"/>
      <c r="GT1235" s="1"/>
      <c r="GU1235" s="1"/>
      <c r="GV1235" s="1"/>
      <c r="GW1235" s="1"/>
      <c r="GX1235" s="1"/>
      <c r="GY1235" s="1"/>
      <c r="GZ1235" s="1"/>
      <c r="HA1235" s="1"/>
      <c r="HB1235" s="1"/>
      <c r="HC1235" s="1"/>
      <c r="HD1235" s="1"/>
      <c r="HE1235" s="1"/>
      <c r="HF1235" s="1"/>
      <c r="HG1235" s="1"/>
      <c r="HH1235" s="1"/>
    </row>
    <row r="1236" spans="1:216" x14ac:dyDescent="0.3">
      <c r="A1236" s="3"/>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c r="FT1236" s="1"/>
      <c r="FU1236" s="1"/>
      <c r="FV1236" s="1"/>
      <c r="FW1236" s="1"/>
      <c r="FX1236" s="1"/>
      <c r="FY1236" s="1"/>
      <c r="FZ1236" s="1"/>
      <c r="GA1236" s="1"/>
      <c r="GB1236" s="1"/>
      <c r="GC1236" s="1"/>
      <c r="GD1236" s="1"/>
      <c r="GE1236" s="1"/>
      <c r="GF1236" s="1"/>
      <c r="GG1236" s="1"/>
      <c r="GH1236" s="1"/>
      <c r="GI1236" s="1"/>
      <c r="GJ1236" s="1"/>
      <c r="GK1236" s="1"/>
      <c r="GL1236" s="1"/>
      <c r="GM1236" s="1"/>
      <c r="GN1236" s="1"/>
      <c r="GO1236" s="1"/>
      <c r="GP1236" s="1"/>
      <c r="GQ1236" s="1"/>
      <c r="GR1236" s="1"/>
      <c r="GS1236" s="1"/>
      <c r="GT1236" s="1"/>
      <c r="GU1236" s="1"/>
      <c r="GV1236" s="1"/>
      <c r="GW1236" s="1"/>
      <c r="GX1236" s="1"/>
      <c r="GY1236" s="1"/>
      <c r="GZ1236" s="1"/>
      <c r="HA1236" s="1"/>
      <c r="HB1236" s="1"/>
      <c r="HC1236" s="1"/>
      <c r="HD1236" s="1"/>
      <c r="HE1236" s="1"/>
      <c r="HF1236" s="1"/>
      <c r="HG1236" s="1"/>
      <c r="HH1236" s="1"/>
    </row>
    <row r="1237" spans="1:216" x14ac:dyDescent="0.3">
      <c r="A1237" s="3"/>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c r="FT1237" s="1"/>
      <c r="FU1237" s="1"/>
      <c r="FV1237" s="1"/>
      <c r="FW1237" s="1"/>
      <c r="FX1237" s="1"/>
      <c r="FY1237" s="1"/>
      <c r="FZ1237" s="1"/>
      <c r="GA1237" s="1"/>
      <c r="GB1237" s="1"/>
      <c r="GC1237" s="1"/>
      <c r="GD1237" s="1"/>
      <c r="GE1237" s="1"/>
      <c r="GF1237" s="1"/>
      <c r="GG1237" s="1"/>
      <c r="GH1237" s="1"/>
      <c r="GI1237" s="1"/>
      <c r="GJ1237" s="1"/>
      <c r="GK1237" s="1"/>
      <c r="GL1237" s="1"/>
      <c r="GM1237" s="1"/>
      <c r="GN1237" s="1"/>
      <c r="GO1237" s="1"/>
      <c r="GP1237" s="1"/>
      <c r="GQ1237" s="1"/>
      <c r="GR1237" s="1"/>
      <c r="GS1237" s="1"/>
      <c r="GT1237" s="1"/>
      <c r="GU1237" s="1"/>
      <c r="GV1237" s="1"/>
      <c r="GW1237" s="1"/>
      <c r="GX1237" s="1"/>
      <c r="GY1237" s="1"/>
      <c r="GZ1237" s="1"/>
      <c r="HA1237" s="1"/>
      <c r="HB1237" s="1"/>
      <c r="HC1237" s="1"/>
      <c r="HD1237" s="1"/>
      <c r="HE1237" s="1"/>
      <c r="HF1237" s="1"/>
      <c r="HG1237" s="1"/>
      <c r="HH1237" s="1"/>
    </row>
    <row r="1238" spans="1:216" x14ac:dyDescent="0.3">
      <c r="A1238" s="3"/>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c r="FT1238" s="1"/>
      <c r="FU1238" s="1"/>
      <c r="FV1238" s="1"/>
      <c r="FW1238" s="1"/>
      <c r="FX1238" s="1"/>
      <c r="FY1238" s="1"/>
      <c r="FZ1238" s="1"/>
      <c r="GA1238" s="1"/>
      <c r="GB1238" s="1"/>
      <c r="GC1238" s="1"/>
      <c r="GD1238" s="1"/>
      <c r="GE1238" s="1"/>
      <c r="GF1238" s="1"/>
      <c r="GG1238" s="1"/>
      <c r="GH1238" s="1"/>
      <c r="GI1238" s="1"/>
      <c r="GJ1238" s="1"/>
      <c r="GK1238" s="1"/>
      <c r="GL1238" s="1"/>
      <c r="GM1238" s="1"/>
      <c r="GN1238" s="1"/>
      <c r="GO1238" s="1"/>
      <c r="GP1238" s="1"/>
      <c r="GQ1238" s="1"/>
      <c r="GR1238" s="1"/>
      <c r="GS1238" s="1"/>
      <c r="GT1238" s="1"/>
      <c r="GU1238" s="1"/>
      <c r="GV1238" s="1"/>
      <c r="GW1238" s="1"/>
      <c r="GX1238" s="1"/>
      <c r="GY1238" s="1"/>
      <c r="GZ1238" s="1"/>
      <c r="HA1238" s="1"/>
      <c r="HB1238" s="1"/>
      <c r="HC1238" s="1"/>
      <c r="HD1238" s="1"/>
      <c r="HE1238" s="1"/>
      <c r="HF1238" s="1"/>
      <c r="HG1238" s="1"/>
      <c r="HH1238" s="1"/>
    </row>
    <row r="1239" spans="1:216" x14ac:dyDescent="0.3">
      <c r="A1239" s="3"/>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c r="FT1239" s="1"/>
      <c r="FU1239" s="1"/>
      <c r="FV1239" s="1"/>
      <c r="FW1239" s="1"/>
      <c r="FX1239" s="1"/>
      <c r="FY1239" s="1"/>
      <c r="FZ1239" s="1"/>
      <c r="GA1239" s="1"/>
      <c r="GB1239" s="1"/>
      <c r="GC1239" s="1"/>
      <c r="GD1239" s="1"/>
      <c r="GE1239" s="1"/>
      <c r="GF1239" s="1"/>
      <c r="GG1239" s="1"/>
      <c r="GH1239" s="1"/>
      <c r="GI1239" s="1"/>
      <c r="GJ1239" s="1"/>
      <c r="GK1239" s="1"/>
      <c r="GL1239" s="1"/>
      <c r="GM1239" s="1"/>
      <c r="GN1239" s="1"/>
      <c r="GO1239" s="1"/>
      <c r="GP1239" s="1"/>
      <c r="GQ1239" s="1"/>
      <c r="GR1239" s="1"/>
      <c r="GS1239" s="1"/>
      <c r="GT1239" s="1"/>
      <c r="GU1239" s="1"/>
      <c r="GV1239" s="1"/>
      <c r="GW1239" s="1"/>
      <c r="GX1239" s="1"/>
      <c r="GY1239" s="1"/>
      <c r="GZ1239" s="1"/>
      <c r="HA1239" s="1"/>
      <c r="HB1239" s="1"/>
      <c r="HC1239" s="1"/>
      <c r="HD1239" s="1"/>
      <c r="HE1239" s="1"/>
      <c r="HF1239" s="1"/>
      <c r="HG1239" s="1"/>
      <c r="HH1239" s="1"/>
    </row>
    <row r="1240" spans="1:216" x14ac:dyDescent="0.3">
      <c r="A1240" s="3"/>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c r="FT1240" s="1"/>
      <c r="FU1240" s="1"/>
      <c r="FV1240" s="1"/>
      <c r="FW1240" s="1"/>
      <c r="FX1240" s="1"/>
      <c r="FY1240" s="1"/>
      <c r="FZ1240" s="1"/>
      <c r="GA1240" s="1"/>
      <c r="GB1240" s="1"/>
      <c r="GC1240" s="1"/>
      <c r="GD1240" s="1"/>
      <c r="GE1240" s="1"/>
      <c r="GF1240" s="1"/>
      <c r="GG1240" s="1"/>
      <c r="GH1240" s="1"/>
      <c r="GI1240" s="1"/>
      <c r="GJ1240" s="1"/>
      <c r="GK1240" s="1"/>
      <c r="GL1240" s="1"/>
      <c r="GM1240" s="1"/>
      <c r="GN1240" s="1"/>
      <c r="GO1240" s="1"/>
      <c r="GP1240" s="1"/>
      <c r="GQ1240" s="1"/>
      <c r="GR1240" s="1"/>
      <c r="GS1240" s="1"/>
      <c r="GT1240" s="1"/>
      <c r="GU1240" s="1"/>
      <c r="GV1240" s="1"/>
      <c r="GW1240" s="1"/>
      <c r="GX1240" s="1"/>
      <c r="GY1240" s="1"/>
      <c r="GZ1240" s="1"/>
      <c r="HA1240" s="1"/>
      <c r="HB1240" s="1"/>
      <c r="HC1240" s="1"/>
      <c r="HD1240" s="1"/>
      <c r="HE1240" s="1"/>
      <c r="HF1240" s="1"/>
      <c r="HG1240" s="1"/>
      <c r="HH1240" s="1"/>
    </row>
    <row r="1241" spans="1:216" x14ac:dyDescent="0.3">
      <c r="A1241" s="3"/>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c r="FT1241" s="1"/>
      <c r="FU1241" s="1"/>
      <c r="FV1241" s="1"/>
      <c r="FW1241" s="1"/>
      <c r="FX1241" s="1"/>
      <c r="FY1241" s="1"/>
      <c r="FZ1241" s="1"/>
      <c r="GA1241" s="1"/>
      <c r="GB1241" s="1"/>
      <c r="GC1241" s="1"/>
      <c r="GD1241" s="1"/>
      <c r="GE1241" s="1"/>
      <c r="GF1241" s="1"/>
      <c r="GG1241" s="1"/>
      <c r="GH1241" s="1"/>
      <c r="GI1241" s="1"/>
      <c r="GJ1241" s="1"/>
      <c r="GK1241" s="1"/>
      <c r="GL1241" s="1"/>
      <c r="GM1241" s="1"/>
      <c r="GN1241" s="1"/>
      <c r="GO1241" s="1"/>
      <c r="GP1241" s="1"/>
      <c r="GQ1241" s="1"/>
      <c r="GR1241" s="1"/>
      <c r="GS1241" s="1"/>
      <c r="GT1241" s="1"/>
      <c r="GU1241" s="1"/>
      <c r="GV1241" s="1"/>
      <c r="GW1241" s="1"/>
      <c r="GX1241" s="1"/>
      <c r="GY1241" s="1"/>
      <c r="GZ1241" s="1"/>
      <c r="HA1241" s="1"/>
      <c r="HB1241" s="1"/>
      <c r="HC1241" s="1"/>
      <c r="HD1241" s="1"/>
      <c r="HE1241" s="1"/>
      <c r="HF1241" s="1"/>
      <c r="HG1241" s="1"/>
      <c r="HH1241" s="1"/>
    </row>
    <row r="1242" spans="1:216" x14ac:dyDescent="0.3">
      <c r="A1242" s="3"/>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c r="FT1242" s="1"/>
      <c r="FU1242" s="1"/>
      <c r="FV1242" s="1"/>
      <c r="FW1242" s="1"/>
      <c r="FX1242" s="1"/>
      <c r="FY1242" s="1"/>
      <c r="FZ1242" s="1"/>
      <c r="GA1242" s="1"/>
      <c r="GB1242" s="1"/>
      <c r="GC1242" s="1"/>
      <c r="GD1242" s="1"/>
      <c r="GE1242" s="1"/>
      <c r="GF1242" s="1"/>
      <c r="GG1242" s="1"/>
      <c r="GH1242" s="1"/>
      <c r="GI1242" s="1"/>
      <c r="GJ1242" s="1"/>
      <c r="GK1242" s="1"/>
      <c r="GL1242" s="1"/>
      <c r="GM1242" s="1"/>
      <c r="GN1242" s="1"/>
      <c r="GO1242" s="1"/>
      <c r="GP1242" s="1"/>
      <c r="GQ1242" s="1"/>
      <c r="GR1242" s="1"/>
      <c r="GS1242" s="1"/>
      <c r="GT1242" s="1"/>
      <c r="GU1242" s="1"/>
      <c r="GV1242" s="1"/>
      <c r="GW1242" s="1"/>
      <c r="GX1242" s="1"/>
      <c r="GY1242" s="1"/>
      <c r="GZ1242" s="1"/>
      <c r="HA1242" s="1"/>
      <c r="HB1242" s="1"/>
      <c r="HC1242" s="1"/>
      <c r="HD1242" s="1"/>
      <c r="HE1242" s="1"/>
      <c r="HF1242" s="1"/>
      <c r="HG1242" s="1"/>
      <c r="HH1242" s="1"/>
    </row>
    <row r="1243" spans="1:216" x14ac:dyDescent="0.3">
      <c r="A1243" s="3"/>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c r="FT1243" s="1"/>
      <c r="FU1243" s="1"/>
      <c r="FV1243" s="1"/>
      <c r="FW1243" s="1"/>
      <c r="FX1243" s="1"/>
      <c r="FY1243" s="1"/>
      <c r="FZ1243" s="1"/>
      <c r="GA1243" s="1"/>
      <c r="GB1243" s="1"/>
      <c r="GC1243" s="1"/>
      <c r="GD1243" s="1"/>
      <c r="GE1243" s="1"/>
      <c r="GF1243" s="1"/>
      <c r="GG1243" s="1"/>
      <c r="GH1243" s="1"/>
      <c r="GI1243" s="1"/>
      <c r="GJ1243" s="1"/>
      <c r="GK1243" s="1"/>
      <c r="GL1243" s="1"/>
      <c r="GM1243" s="1"/>
      <c r="GN1243" s="1"/>
      <c r="GO1243" s="1"/>
      <c r="GP1243" s="1"/>
      <c r="GQ1243" s="1"/>
      <c r="GR1243" s="1"/>
      <c r="GS1243" s="1"/>
      <c r="GT1243" s="1"/>
      <c r="GU1243" s="1"/>
      <c r="GV1243" s="1"/>
      <c r="GW1243" s="1"/>
      <c r="GX1243" s="1"/>
      <c r="GY1243" s="1"/>
      <c r="GZ1243" s="1"/>
      <c r="HA1243" s="1"/>
      <c r="HB1243" s="1"/>
      <c r="HC1243" s="1"/>
      <c r="HD1243" s="1"/>
      <c r="HE1243" s="1"/>
      <c r="HF1243" s="1"/>
      <c r="HG1243" s="1"/>
      <c r="HH1243" s="1"/>
    </row>
    <row r="1244" spans="1:216" x14ac:dyDescent="0.3">
      <c r="A1244" s="3"/>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c r="FT1244" s="1"/>
      <c r="FU1244" s="1"/>
      <c r="FV1244" s="1"/>
      <c r="FW1244" s="1"/>
      <c r="FX1244" s="1"/>
      <c r="FY1244" s="1"/>
      <c r="FZ1244" s="1"/>
      <c r="GA1244" s="1"/>
      <c r="GB1244" s="1"/>
      <c r="GC1244" s="1"/>
      <c r="GD1244" s="1"/>
      <c r="GE1244" s="1"/>
      <c r="GF1244" s="1"/>
      <c r="GG1244" s="1"/>
      <c r="GH1244" s="1"/>
      <c r="GI1244" s="1"/>
      <c r="GJ1244" s="1"/>
      <c r="GK1244" s="1"/>
      <c r="GL1244" s="1"/>
      <c r="GM1244" s="1"/>
      <c r="GN1244" s="1"/>
      <c r="GO1244" s="1"/>
      <c r="GP1244" s="1"/>
      <c r="GQ1244" s="1"/>
      <c r="GR1244" s="1"/>
      <c r="GS1244" s="1"/>
      <c r="GT1244" s="1"/>
      <c r="GU1244" s="1"/>
      <c r="GV1244" s="1"/>
      <c r="GW1244" s="1"/>
      <c r="GX1244" s="1"/>
      <c r="GY1244" s="1"/>
      <c r="GZ1244" s="1"/>
      <c r="HA1244" s="1"/>
      <c r="HB1244" s="1"/>
      <c r="HC1244" s="1"/>
      <c r="HD1244" s="1"/>
      <c r="HE1244" s="1"/>
      <c r="HF1244" s="1"/>
      <c r="HG1244" s="1"/>
      <c r="HH1244" s="1"/>
    </row>
    <row r="1245" spans="1:216" x14ac:dyDescent="0.3">
      <c r="A1245" s="3"/>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c r="FT1245" s="1"/>
      <c r="FU1245" s="1"/>
      <c r="FV1245" s="1"/>
      <c r="FW1245" s="1"/>
      <c r="FX1245" s="1"/>
      <c r="FY1245" s="1"/>
      <c r="FZ1245" s="1"/>
      <c r="GA1245" s="1"/>
      <c r="GB1245" s="1"/>
      <c r="GC1245" s="1"/>
      <c r="GD1245" s="1"/>
      <c r="GE1245" s="1"/>
      <c r="GF1245" s="1"/>
      <c r="GG1245" s="1"/>
      <c r="GH1245" s="1"/>
      <c r="GI1245" s="1"/>
      <c r="GJ1245" s="1"/>
      <c r="GK1245" s="1"/>
      <c r="GL1245" s="1"/>
      <c r="GM1245" s="1"/>
      <c r="GN1245" s="1"/>
      <c r="GO1245" s="1"/>
      <c r="GP1245" s="1"/>
      <c r="GQ1245" s="1"/>
      <c r="GR1245" s="1"/>
      <c r="GS1245" s="1"/>
      <c r="GT1245" s="1"/>
      <c r="GU1245" s="1"/>
      <c r="GV1245" s="1"/>
      <c r="GW1245" s="1"/>
      <c r="GX1245" s="1"/>
      <c r="GY1245" s="1"/>
      <c r="GZ1245" s="1"/>
      <c r="HA1245" s="1"/>
      <c r="HB1245" s="1"/>
      <c r="HC1245" s="1"/>
      <c r="HD1245" s="1"/>
      <c r="HE1245" s="1"/>
      <c r="HF1245" s="1"/>
      <c r="HG1245" s="1"/>
      <c r="HH1245" s="1"/>
    </row>
    <row r="1246" spans="1:216" x14ac:dyDescent="0.3">
      <c r="A1246" s="3"/>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1"/>
      <c r="GD1246" s="1"/>
      <c r="GE1246" s="1"/>
      <c r="GF1246" s="1"/>
      <c r="GG1246" s="1"/>
      <c r="GH1246" s="1"/>
      <c r="GI1246" s="1"/>
      <c r="GJ1246" s="1"/>
      <c r="GK1246" s="1"/>
      <c r="GL1246" s="1"/>
      <c r="GM1246" s="1"/>
      <c r="GN1246" s="1"/>
      <c r="GO1246" s="1"/>
      <c r="GP1246" s="1"/>
      <c r="GQ1246" s="1"/>
      <c r="GR1246" s="1"/>
      <c r="GS1246" s="1"/>
      <c r="GT1246" s="1"/>
      <c r="GU1246" s="1"/>
      <c r="GV1246" s="1"/>
      <c r="GW1246" s="1"/>
      <c r="GX1246" s="1"/>
      <c r="GY1246" s="1"/>
      <c r="GZ1246" s="1"/>
      <c r="HA1246" s="1"/>
      <c r="HB1246" s="1"/>
      <c r="HC1246" s="1"/>
      <c r="HD1246" s="1"/>
      <c r="HE1246" s="1"/>
      <c r="HF1246" s="1"/>
      <c r="HG1246" s="1"/>
      <c r="HH1246" s="1"/>
    </row>
    <row r="1247" spans="1:216" x14ac:dyDescent="0.3">
      <c r="A1247" s="3"/>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c r="FT1247" s="1"/>
      <c r="FU1247" s="1"/>
      <c r="FV1247" s="1"/>
      <c r="FW1247" s="1"/>
      <c r="FX1247" s="1"/>
      <c r="FY1247" s="1"/>
      <c r="FZ1247" s="1"/>
      <c r="GA1247" s="1"/>
      <c r="GB1247" s="1"/>
      <c r="GC1247" s="1"/>
      <c r="GD1247" s="1"/>
      <c r="GE1247" s="1"/>
      <c r="GF1247" s="1"/>
      <c r="GG1247" s="1"/>
      <c r="GH1247" s="1"/>
      <c r="GI1247" s="1"/>
      <c r="GJ1247" s="1"/>
      <c r="GK1247" s="1"/>
      <c r="GL1247" s="1"/>
      <c r="GM1247" s="1"/>
      <c r="GN1247" s="1"/>
      <c r="GO1247" s="1"/>
      <c r="GP1247" s="1"/>
      <c r="GQ1247" s="1"/>
      <c r="GR1247" s="1"/>
      <c r="GS1247" s="1"/>
      <c r="GT1247" s="1"/>
      <c r="GU1247" s="1"/>
      <c r="GV1247" s="1"/>
      <c r="GW1247" s="1"/>
      <c r="GX1247" s="1"/>
      <c r="GY1247" s="1"/>
      <c r="GZ1247" s="1"/>
      <c r="HA1247" s="1"/>
      <c r="HB1247" s="1"/>
      <c r="HC1247" s="1"/>
      <c r="HD1247" s="1"/>
      <c r="HE1247" s="1"/>
      <c r="HF1247" s="1"/>
      <c r="HG1247" s="1"/>
      <c r="HH1247" s="1"/>
    </row>
    <row r="1248" spans="1:216" x14ac:dyDescent="0.3">
      <c r="A1248" s="3"/>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c r="FT1248" s="1"/>
      <c r="FU1248" s="1"/>
      <c r="FV1248" s="1"/>
      <c r="FW1248" s="1"/>
      <c r="FX1248" s="1"/>
      <c r="FY1248" s="1"/>
      <c r="FZ1248" s="1"/>
      <c r="GA1248" s="1"/>
      <c r="GB1248" s="1"/>
      <c r="GC1248" s="1"/>
      <c r="GD1248" s="1"/>
      <c r="GE1248" s="1"/>
      <c r="GF1248" s="1"/>
      <c r="GG1248" s="1"/>
      <c r="GH1248" s="1"/>
      <c r="GI1248" s="1"/>
      <c r="GJ1248" s="1"/>
      <c r="GK1248" s="1"/>
      <c r="GL1248" s="1"/>
      <c r="GM1248" s="1"/>
      <c r="GN1248" s="1"/>
      <c r="GO1248" s="1"/>
      <c r="GP1248" s="1"/>
      <c r="GQ1248" s="1"/>
      <c r="GR1248" s="1"/>
      <c r="GS1248" s="1"/>
      <c r="GT1248" s="1"/>
      <c r="GU1248" s="1"/>
      <c r="GV1248" s="1"/>
      <c r="GW1248" s="1"/>
      <c r="GX1248" s="1"/>
      <c r="GY1248" s="1"/>
      <c r="GZ1248" s="1"/>
      <c r="HA1248" s="1"/>
      <c r="HB1248" s="1"/>
      <c r="HC1248" s="1"/>
      <c r="HD1248" s="1"/>
      <c r="HE1248" s="1"/>
      <c r="HF1248" s="1"/>
      <c r="HG1248" s="1"/>
      <c r="HH1248" s="1"/>
    </row>
    <row r="1249" spans="1:216" x14ac:dyDescent="0.3">
      <c r="A1249" s="3"/>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c r="FT1249" s="1"/>
      <c r="FU1249" s="1"/>
      <c r="FV1249" s="1"/>
      <c r="FW1249" s="1"/>
      <c r="FX1249" s="1"/>
      <c r="FY1249" s="1"/>
      <c r="FZ1249" s="1"/>
      <c r="GA1249" s="1"/>
      <c r="GB1249" s="1"/>
      <c r="GC1249" s="1"/>
      <c r="GD1249" s="1"/>
      <c r="GE1249" s="1"/>
      <c r="GF1249" s="1"/>
      <c r="GG1249" s="1"/>
      <c r="GH1249" s="1"/>
      <c r="GI1249" s="1"/>
      <c r="GJ1249" s="1"/>
      <c r="GK1249" s="1"/>
      <c r="GL1249" s="1"/>
      <c r="GM1249" s="1"/>
      <c r="GN1249" s="1"/>
      <c r="GO1249" s="1"/>
      <c r="GP1249" s="1"/>
      <c r="GQ1249" s="1"/>
      <c r="GR1249" s="1"/>
      <c r="GS1249" s="1"/>
      <c r="GT1249" s="1"/>
      <c r="GU1249" s="1"/>
      <c r="GV1249" s="1"/>
      <c r="GW1249" s="1"/>
      <c r="GX1249" s="1"/>
      <c r="GY1249" s="1"/>
      <c r="GZ1249" s="1"/>
      <c r="HA1249" s="1"/>
      <c r="HB1249" s="1"/>
      <c r="HC1249" s="1"/>
      <c r="HD1249" s="1"/>
      <c r="HE1249" s="1"/>
      <c r="HF1249" s="1"/>
      <c r="HG1249" s="1"/>
      <c r="HH1249" s="1"/>
    </row>
    <row r="1250" spans="1:216" x14ac:dyDescent="0.3">
      <c r="A1250" s="3"/>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c r="FT1250" s="1"/>
      <c r="FU1250" s="1"/>
      <c r="FV1250" s="1"/>
      <c r="FW1250" s="1"/>
      <c r="FX1250" s="1"/>
      <c r="FY1250" s="1"/>
      <c r="FZ1250" s="1"/>
      <c r="GA1250" s="1"/>
      <c r="GB1250" s="1"/>
      <c r="GC1250" s="1"/>
      <c r="GD1250" s="1"/>
      <c r="GE1250" s="1"/>
      <c r="GF1250" s="1"/>
      <c r="GG1250" s="1"/>
      <c r="GH1250" s="1"/>
      <c r="GI1250" s="1"/>
      <c r="GJ1250" s="1"/>
      <c r="GK1250" s="1"/>
      <c r="GL1250" s="1"/>
      <c r="GM1250" s="1"/>
      <c r="GN1250" s="1"/>
      <c r="GO1250" s="1"/>
      <c r="GP1250" s="1"/>
      <c r="GQ1250" s="1"/>
      <c r="GR1250" s="1"/>
      <c r="GS1250" s="1"/>
      <c r="GT1250" s="1"/>
      <c r="GU1250" s="1"/>
      <c r="GV1250" s="1"/>
      <c r="GW1250" s="1"/>
      <c r="GX1250" s="1"/>
      <c r="GY1250" s="1"/>
      <c r="GZ1250" s="1"/>
      <c r="HA1250" s="1"/>
      <c r="HB1250" s="1"/>
      <c r="HC1250" s="1"/>
      <c r="HD1250" s="1"/>
      <c r="HE1250" s="1"/>
      <c r="HF1250" s="1"/>
      <c r="HG1250" s="1"/>
      <c r="HH1250" s="1"/>
    </row>
    <row r="1251" spans="1:216" x14ac:dyDescent="0.3">
      <c r="A1251" s="3"/>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1"/>
      <c r="GD1251" s="1"/>
      <c r="GE1251" s="1"/>
      <c r="GF1251" s="1"/>
      <c r="GG1251" s="1"/>
      <c r="GH1251" s="1"/>
      <c r="GI1251" s="1"/>
      <c r="GJ1251" s="1"/>
      <c r="GK1251" s="1"/>
      <c r="GL1251" s="1"/>
      <c r="GM1251" s="1"/>
      <c r="GN1251" s="1"/>
      <c r="GO1251" s="1"/>
      <c r="GP1251" s="1"/>
      <c r="GQ1251" s="1"/>
      <c r="GR1251" s="1"/>
      <c r="GS1251" s="1"/>
      <c r="GT1251" s="1"/>
      <c r="GU1251" s="1"/>
      <c r="GV1251" s="1"/>
      <c r="GW1251" s="1"/>
      <c r="GX1251" s="1"/>
      <c r="GY1251" s="1"/>
      <c r="GZ1251" s="1"/>
      <c r="HA1251" s="1"/>
      <c r="HB1251" s="1"/>
      <c r="HC1251" s="1"/>
      <c r="HD1251" s="1"/>
      <c r="HE1251" s="1"/>
      <c r="HF1251" s="1"/>
      <c r="HG1251" s="1"/>
      <c r="HH1251" s="1"/>
    </row>
    <row r="1252" spans="1:216" x14ac:dyDescent="0.3">
      <c r="A1252" s="3"/>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c r="FT1252" s="1"/>
      <c r="FU1252" s="1"/>
      <c r="FV1252" s="1"/>
      <c r="FW1252" s="1"/>
      <c r="FX1252" s="1"/>
      <c r="FY1252" s="1"/>
      <c r="FZ1252" s="1"/>
      <c r="GA1252" s="1"/>
      <c r="GB1252" s="1"/>
      <c r="GC1252" s="1"/>
      <c r="GD1252" s="1"/>
      <c r="GE1252" s="1"/>
      <c r="GF1252" s="1"/>
      <c r="GG1252" s="1"/>
      <c r="GH1252" s="1"/>
      <c r="GI1252" s="1"/>
      <c r="GJ1252" s="1"/>
      <c r="GK1252" s="1"/>
      <c r="GL1252" s="1"/>
      <c r="GM1252" s="1"/>
      <c r="GN1252" s="1"/>
      <c r="GO1252" s="1"/>
      <c r="GP1252" s="1"/>
      <c r="GQ1252" s="1"/>
      <c r="GR1252" s="1"/>
      <c r="GS1252" s="1"/>
      <c r="GT1252" s="1"/>
      <c r="GU1252" s="1"/>
      <c r="GV1252" s="1"/>
      <c r="GW1252" s="1"/>
      <c r="GX1252" s="1"/>
      <c r="GY1252" s="1"/>
      <c r="GZ1252" s="1"/>
      <c r="HA1252" s="1"/>
      <c r="HB1252" s="1"/>
      <c r="HC1252" s="1"/>
      <c r="HD1252" s="1"/>
      <c r="HE1252" s="1"/>
      <c r="HF1252" s="1"/>
      <c r="HG1252" s="1"/>
      <c r="HH1252" s="1"/>
    </row>
    <row r="1253" spans="1:216" x14ac:dyDescent="0.3">
      <c r="A1253" s="3"/>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c r="FT1253" s="1"/>
      <c r="FU1253" s="1"/>
      <c r="FV1253" s="1"/>
      <c r="FW1253" s="1"/>
      <c r="FX1253" s="1"/>
      <c r="FY1253" s="1"/>
      <c r="FZ1253" s="1"/>
      <c r="GA1253" s="1"/>
      <c r="GB1253" s="1"/>
      <c r="GC1253" s="1"/>
      <c r="GD1253" s="1"/>
      <c r="GE1253" s="1"/>
      <c r="GF1253" s="1"/>
      <c r="GG1253" s="1"/>
      <c r="GH1253" s="1"/>
      <c r="GI1253" s="1"/>
      <c r="GJ1253" s="1"/>
      <c r="GK1253" s="1"/>
      <c r="GL1253" s="1"/>
      <c r="GM1253" s="1"/>
      <c r="GN1253" s="1"/>
      <c r="GO1253" s="1"/>
      <c r="GP1253" s="1"/>
      <c r="GQ1253" s="1"/>
      <c r="GR1253" s="1"/>
      <c r="GS1253" s="1"/>
      <c r="GT1253" s="1"/>
      <c r="GU1253" s="1"/>
      <c r="GV1253" s="1"/>
      <c r="GW1253" s="1"/>
      <c r="GX1253" s="1"/>
      <c r="GY1253" s="1"/>
      <c r="GZ1253" s="1"/>
      <c r="HA1253" s="1"/>
      <c r="HB1253" s="1"/>
      <c r="HC1253" s="1"/>
      <c r="HD1253" s="1"/>
      <c r="HE1253" s="1"/>
      <c r="HF1253" s="1"/>
      <c r="HG1253" s="1"/>
      <c r="HH1253" s="1"/>
    </row>
    <row r="1254" spans="1:216" x14ac:dyDescent="0.3">
      <c r="A1254" s="3"/>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c r="FT1254" s="1"/>
      <c r="FU1254" s="1"/>
      <c r="FV1254" s="1"/>
      <c r="FW1254" s="1"/>
      <c r="FX1254" s="1"/>
      <c r="FY1254" s="1"/>
      <c r="FZ1254" s="1"/>
      <c r="GA1254" s="1"/>
      <c r="GB1254" s="1"/>
      <c r="GC1254" s="1"/>
      <c r="GD1254" s="1"/>
      <c r="GE1254" s="1"/>
      <c r="GF1254" s="1"/>
      <c r="GG1254" s="1"/>
      <c r="GH1254" s="1"/>
      <c r="GI1254" s="1"/>
      <c r="GJ1254" s="1"/>
      <c r="GK1254" s="1"/>
      <c r="GL1254" s="1"/>
      <c r="GM1254" s="1"/>
      <c r="GN1254" s="1"/>
      <c r="GO1254" s="1"/>
      <c r="GP1254" s="1"/>
      <c r="GQ1254" s="1"/>
      <c r="GR1254" s="1"/>
      <c r="GS1254" s="1"/>
      <c r="GT1254" s="1"/>
      <c r="GU1254" s="1"/>
      <c r="GV1254" s="1"/>
      <c r="GW1254" s="1"/>
      <c r="GX1254" s="1"/>
      <c r="GY1254" s="1"/>
      <c r="GZ1254" s="1"/>
      <c r="HA1254" s="1"/>
      <c r="HB1254" s="1"/>
      <c r="HC1254" s="1"/>
      <c r="HD1254" s="1"/>
      <c r="HE1254" s="1"/>
      <c r="HF1254" s="1"/>
      <c r="HG1254" s="1"/>
      <c r="HH1254" s="1"/>
    </row>
    <row r="1255" spans="1:216" x14ac:dyDescent="0.3">
      <c r="A1255" s="3"/>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c r="FT1255" s="1"/>
      <c r="FU1255" s="1"/>
      <c r="FV1255" s="1"/>
      <c r="FW1255" s="1"/>
      <c r="FX1255" s="1"/>
      <c r="FY1255" s="1"/>
      <c r="FZ1255" s="1"/>
      <c r="GA1255" s="1"/>
      <c r="GB1255" s="1"/>
      <c r="GC1255" s="1"/>
      <c r="GD1255" s="1"/>
      <c r="GE1255" s="1"/>
      <c r="GF1255" s="1"/>
      <c r="GG1255" s="1"/>
      <c r="GH1255" s="1"/>
      <c r="GI1255" s="1"/>
      <c r="GJ1255" s="1"/>
      <c r="GK1255" s="1"/>
      <c r="GL1255" s="1"/>
      <c r="GM1255" s="1"/>
      <c r="GN1255" s="1"/>
      <c r="GO1255" s="1"/>
      <c r="GP1255" s="1"/>
      <c r="GQ1255" s="1"/>
      <c r="GR1255" s="1"/>
      <c r="GS1255" s="1"/>
      <c r="GT1255" s="1"/>
      <c r="GU1255" s="1"/>
      <c r="GV1255" s="1"/>
      <c r="GW1255" s="1"/>
      <c r="GX1255" s="1"/>
      <c r="GY1255" s="1"/>
      <c r="GZ1255" s="1"/>
      <c r="HA1255" s="1"/>
      <c r="HB1255" s="1"/>
      <c r="HC1255" s="1"/>
      <c r="HD1255" s="1"/>
      <c r="HE1255" s="1"/>
      <c r="HF1255" s="1"/>
      <c r="HG1255" s="1"/>
      <c r="HH1255" s="1"/>
    </row>
    <row r="1256" spans="1:216" x14ac:dyDescent="0.3">
      <c r="A1256" s="3"/>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c r="FT1256" s="1"/>
      <c r="FU1256" s="1"/>
      <c r="FV1256" s="1"/>
      <c r="FW1256" s="1"/>
      <c r="FX1256" s="1"/>
      <c r="FY1256" s="1"/>
      <c r="FZ1256" s="1"/>
      <c r="GA1256" s="1"/>
      <c r="GB1256" s="1"/>
      <c r="GC1256" s="1"/>
      <c r="GD1256" s="1"/>
      <c r="GE1256" s="1"/>
      <c r="GF1256" s="1"/>
      <c r="GG1256" s="1"/>
      <c r="GH1256" s="1"/>
      <c r="GI1256" s="1"/>
      <c r="GJ1256" s="1"/>
      <c r="GK1256" s="1"/>
      <c r="GL1256" s="1"/>
      <c r="GM1256" s="1"/>
      <c r="GN1256" s="1"/>
      <c r="GO1256" s="1"/>
      <c r="GP1256" s="1"/>
      <c r="GQ1256" s="1"/>
      <c r="GR1256" s="1"/>
      <c r="GS1256" s="1"/>
      <c r="GT1256" s="1"/>
      <c r="GU1256" s="1"/>
      <c r="GV1256" s="1"/>
      <c r="GW1256" s="1"/>
      <c r="GX1256" s="1"/>
      <c r="GY1256" s="1"/>
      <c r="GZ1256" s="1"/>
      <c r="HA1256" s="1"/>
      <c r="HB1256" s="1"/>
      <c r="HC1256" s="1"/>
      <c r="HD1256" s="1"/>
      <c r="HE1256" s="1"/>
      <c r="HF1256" s="1"/>
      <c r="HG1256" s="1"/>
      <c r="HH1256" s="1"/>
    </row>
    <row r="1257" spans="1:216" x14ac:dyDescent="0.3">
      <c r="A1257" s="3"/>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c r="FT1257" s="1"/>
      <c r="FU1257" s="1"/>
      <c r="FV1257" s="1"/>
      <c r="FW1257" s="1"/>
      <c r="FX1257" s="1"/>
      <c r="FY1257" s="1"/>
      <c r="FZ1257" s="1"/>
      <c r="GA1257" s="1"/>
      <c r="GB1257" s="1"/>
      <c r="GC1257" s="1"/>
      <c r="GD1257" s="1"/>
      <c r="GE1257" s="1"/>
      <c r="GF1257" s="1"/>
      <c r="GG1257" s="1"/>
      <c r="GH1257" s="1"/>
      <c r="GI1257" s="1"/>
      <c r="GJ1257" s="1"/>
      <c r="GK1257" s="1"/>
      <c r="GL1257" s="1"/>
      <c r="GM1257" s="1"/>
      <c r="GN1257" s="1"/>
      <c r="GO1257" s="1"/>
      <c r="GP1257" s="1"/>
      <c r="GQ1257" s="1"/>
      <c r="GR1257" s="1"/>
      <c r="GS1257" s="1"/>
      <c r="GT1257" s="1"/>
      <c r="GU1257" s="1"/>
      <c r="GV1257" s="1"/>
      <c r="GW1257" s="1"/>
      <c r="GX1257" s="1"/>
      <c r="GY1257" s="1"/>
      <c r="GZ1257" s="1"/>
      <c r="HA1257" s="1"/>
      <c r="HB1257" s="1"/>
      <c r="HC1257" s="1"/>
      <c r="HD1257" s="1"/>
      <c r="HE1257" s="1"/>
      <c r="HF1257" s="1"/>
      <c r="HG1257" s="1"/>
      <c r="HH1257" s="1"/>
    </row>
    <row r="1258" spans="1:216" x14ac:dyDescent="0.3">
      <c r="A1258" s="3"/>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c r="FT1258" s="1"/>
      <c r="FU1258" s="1"/>
      <c r="FV1258" s="1"/>
      <c r="FW1258" s="1"/>
      <c r="FX1258" s="1"/>
      <c r="FY1258" s="1"/>
      <c r="FZ1258" s="1"/>
      <c r="GA1258" s="1"/>
      <c r="GB1258" s="1"/>
      <c r="GC1258" s="1"/>
      <c r="GD1258" s="1"/>
      <c r="GE1258" s="1"/>
      <c r="GF1258" s="1"/>
      <c r="GG1258" s="1"/>
      <c r="GH1258" s="1"/>
      <c r="GI1258" s="1"/>
      <c r="GJ1258" s="1"/>
      <c r="GK1258" s="1"/>
      <c r="GL1258" s="1"/>
      <c r="GM1258" s="1"/>
      <c r="GN1258" s="1"/>
      <c r="GO1258" s="1"/>
      <c r="GP1258" s="1"/>
      <c r="GQ1258" s="1"/>
      <c r="GR1258" s="1"/>
      <c r="GS1258" s="1"/>
      <c r="GT1258" s="1"/>
      <c r="GU1258" s="1"/>
      <c r="GV1258" s="1"/>
      <c r="GW1258" s="1"/>
      <c r="GX1258" s="1"/>
      <c r="GY1258" s="1"/>
      <c r="GZ1258" s="1"/>
      <c r="HA1258" s="1"/>
      <c r="HB1258" s="1"/>
      <c r="HC1258" s="1"/>
      <c r="HD1258" s="1"/>
      <c r="HE1258" s="1"/>
      <c r="HF1258" s="1"/>
      <c r="HG1258" s="1"/>
      <c r="HH1258" s="1"/>
    </row>
    <row r="1259" spans="1:216" x14ac:dyDescent="0.3">
      <c r="A1259" s="3"/>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1"/>
      <c r="GD1259" s="1"/>
      <c r="GE1259" s="1"/>
      <c r="GF1259" s="1"/>
      <c r="GG1259" s="1"/>
      <c r="GH1259" s="1"/>
      <c r="GI1259" s="1"/>
      <c r="GJ1259" s="1"/>
      <c r="GK1259" s="1"/>
      <c r="GL1259" s="1"/>
      <c r="GM1259" s="1"/>
      <c r="GN1259" s="1"/>
      <c r="GO1259" s="1"/>
      <c r="GP1259" s="1"/>
      <c r="GQ1259" s="1"/>
      <c r="GR1259" s="1"/>
      <c r="GS1259" s="1"/>
      <c r="GT1259" s="1"/>
      <c r="GU1259" s="1"/>
      <c r="GV1259" s="1"/>
      <c r="GW1259" s="1"/>
      <c r="GX1259" s="1"/>
      <c r="GY1259" s="1"/>
      <c r="GZ1259" s="1"/>
      <c r="HA1259" s="1"/>
      <c r="HB1259" s="1"/>
      <c r="HC1259" s="1"/>
      <c r="HD1259" s="1"/>
      <c r="HE1259" s="1"/>
      <c r="HF1259" s="1"/>
      <c r="HG1259" s="1"/>
      <c r="HH1259" s="1"/>
    </row>
    <row r="1260" spans="1:216" x14ac:dyDescent="0.3">
      <c r="A1260" s="3"/>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c r="FT1260" s="1"/>
      <c r="FU1260" s="1"/>
      <c r="FV1260" s="1"/>
      <c r="FW1260" s="1"/>
      <c r="FX1260" s="1"/>
      <c r="FY1260" s="1"/>
      <c r="FZ1260" s="1"/>
      <c r="GA1260" s="1"/>
      <c r="GB1260" s="1"/>
      <c r="GC1260" s="1"/>
      <c r="GD1260" s="1"/>
      <c r="GE1260" s="1"/>
      <c r="GF1260" s="1"/>
      <c r="GG1260" s="1"/>
      <c r="GH1260" s="1"/>
      <c r="GI1260" s="1"/>
      <c r="GJ1260" s="1"/>
      <c r="GK1260" s="1"/>
      <c r="GL1260" s="1"/>
      <c r="GM1260" s="1"/>
      <c r="GN1260" s="1"/>
      <c r="GO1260" s="1"/>
      <c r="GP1260" s="1"/>
      <c r="GQ1260" s="1"/>
      <c r="GR1260" s="1"/>
      <c r="GS1260" s="1"/>
      <c r="GT1260" s="1"/>
      <c r="GU1260" s="1"/>
      <c r="GV1260" s="1"/>
      <c r="GW1260" s="1"/>
      <c r="GX1260" s="1"/>
      <c r="GY1260" s="1"/>
      <c r="GZ1260" s="1"/>
      <c r="HA1260" s="1"/>
      <c r="HB1260" s="1"/>
      <c r="HC1260" s="1"/>
      <c r="HD1260" s="1"/>
      <c r="HE1260" s="1"/>
      <c r="HF1260" s="1"/>
      <c r="HG1260" s="1"/>
      <c r="HH1260" s="1"/>
    </row>
    <row r="1261" spans="1:216" x14ac:dyDescent="0.3">
      <c r="A1261" s="3"/>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c r="FT1261" s="1"/>
      <c r="FU1261" s="1"/>
      <c r="FV1261" s="1"/>
      <c r="FW1261" s="1"/>
      <c r="FX1261" s="1"/>
      <c r="FY1261" s="1"/>
      <c r="FZ1261" s="1"/>
      <c r="GA1261" s="1"/>
      <c r="GB1261" s="1"/>
      <c r="GC1261" s="1"/>
      <c r="GD1261" s="1"/>
      <c r="GE1261" s="1"/>
      <c r="GF1261" s="1"/>
      <c r="GG1261" s="1"/>
      <c r="GH1261" s="1"/>
      <c r="GI1261" s="1"/>
      <c r="GJ1261" s="1"/>
      <c r="GK1261" s="1"/>
      <c r="GL1261" s="1"/>
      <c r="GM1261" s="1"/>
      <c r="GN1261" s="1"/>
      <c r="GO1261" s="1"/>
      <c r="GP1261" s="1"/>
      <c r="GQ1261" s="1"/>
      <c r="GR1261" s="1"/>
      <c r="GS1261" s="1"/>
      <c r="GT1261" s="1"/>
      <c r="GU1261" s="1"/>
      <c r="GV1261" s="1"/>
      <c r="GW1261" s="1"/>
      <c r="GX1261" s="1"/>
      <c r="GY1261" s="1"/>
      <c r="GZ1261" s="1"/>
      <c r="HA1261" s="1"/>
      <c r="HB1261" s="1"/>
      <c r="HC1261" s="1"/>
      <c r="HD1261" s="1"/>
      <c r="HE1261" s="1"/>
      <c r="HF1261" s="1"/>
      <c r="HG1261" s="1"/>
      <c r="HH1261" s="1"/>
    </row>
    <row r="1262" spans="1:216" x14ac:dyDescent="0.3">
      <c r="A1262" s="3"/>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c r="FT1262" s="1"/>
      <c r="FU1262" s="1"/>
      <c r="FV1262" s="1"/>
      <c r="FW1262" s="1"/>
      <c r="FX1262" s="1"/>
      <c r="FY1262" s="1"/>
      <c r="FZ1262" s="1"/>
      <c r="GA1262" s="1"/>
      <c r="GB1262" s="1"/>
      <c r="GC1262" s="1"/>
      <c r="GD1262" s="1"/>
      <c r="GE1262" s="1"/>
      <c r="GF1262" s="1"/>
      <c r="GG1262" s="1"/>
      <c r="GH1262" s="1"/>
      <c r="GI1262" s="1"/>
      <c r="GJ1262" s="1"/>
      <c r="GK1262" s="1"/>
      <c r="GL1262" s="1"/>
      <c r="GM1262" s="1"/>
      <c r="GN1262" s="1"/>
      <c r="GO1262" s="1"/>
      <c r="GP1262" s="1"/>
      <c r="GQ1262" s="1"/>
      <c r="GR1262" s="1"/>
      <c r="GS1262" s="1"/>
      <c r="GT1262" s="1"/>
      <c r="GU1262" s="1"/>
      <c r="GV1262" s="1"/>
      <c r="GW1262" s="1"/>
      <c r="GX1262" s="1"/>
      <c r="GY1262" s="1"/>
      <c r="GZ1262" s="1"/>
      <c r="HA1262" s="1"/>
      <c r="HB1262" s="1"/>
      <c r="HC1262" s="1"/>
      <c r="HD1262" s="1"/>
      <c r="HE1262" s="1"/>
      <c r="HF1262" s="1"/>
      <c r="HG1262" s="1"/>
      <c r="HH1262" s="1"/>
    </row>
    <row r="1263" spans="1:216" x14ac:dyDescent="0.3">
      <c r="A1263" s="3"/>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1"/>
      <c r="GD1263" s="1"/>
      <c r="GE1263" s="1"/>
      <c r="GF1263" s="1"/>
      <c r="GG1263" s="1"/>
      <c r="GH1263" s="1"/>
      <c r="GI1263" s="1"/>
      <c r="GJ1263" s="1"/>
      <c r="GK1263" s="1"/>
      <c r="GL1263" s="1"/>
      <c r="GM1263" s="1"/>
      <c r="GN1263" s="1"/>
      <c r="GO1263" s="1"/>
      <c r="GP1263" s="1"/>
      <c r="GQ1263" s="1"/>
      <c r="GR1263" s="1"/>
      <c r="GS1263" s="1"/>
      <c r="GT1263" s="1"/>
      <c r="GU1263" s="1"/>
      <c r="GV1263" s="1"/>
      <c r="GW1263" s="1"/>
      <c r="GX1263" s="1"/>
      <c r="GY1263" s="1"/>
      <c r="GZ1263" s="1"/>
      <c r="HA1263" s="1"/>
      <c r="HB1263" s="1"/>
      <c r="HC1263" s="1"/>
      <c r="HD1263" s="1"/>
      <c r="HE1263" s="1"/>
      <c r="HF1263" s="1"/>
      <c r="HG1263" s="1"/>
      <c r="HH1263" s="1"/>
    </row>
    <row r="1264" spans="1:216" x14ac:dyDescent="0.3">
      <c r="A1264" s="3"/>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c r="FT1264" s="1"/>
      <c r="FU1264" s="1"/>
      <c r="FV1264" s="1"/>
      <c r="FW1264" s="1"/>
      <c r="FX1264" s="1"/>
      <c r="FY1264" s="1"/>
      <c r="FZ1264" s="1"/>
      <c r="GA1264" s="1"/>
      <c r="GB1264" s="1"/>
      <c r="GC1264" s="1"/>
      <c r="GD1264" s="1"/>
      <c r="GE1264" s="1"/>
      <c r="GF1264" s="1"/>
      <c r="GG1264" s="1"/>
      <c r="GH1264" s="1"/>
      <c r="GI1264" s="1"/>
      <c r="GJ1264" s="1"/>
      <c r="GK1264" s="1"/>
      <c r="GL1264" s="1"/>
      <c r="GM1264" s="1"/>
      <c r="GN1264" s="1"/>
      <c r="GO1264" s="1"/>
      <c r="GP1264" s="1"/>
      <c r="GQ1264" s="1"/>
      <c r="GR1264" s="1"/>
      <c r="GS1264" s="1"/>
      <c r="GT1264" s="1"/>
      <c r="GU1264" s="1"/>
      <c r="GV1264" s="1"/>
      <c r="GW1264" s="1"/>
      <c r="GX1264" s="1"/>
      <c r="GY1264" s="1"/>
      <c r="GZ1264" s="1"/>
      <c r="HA1264" s="1"/>
      <c r="HB1264" s="1"/>
      <c r="HC1264" s="1"/>
      <c r="HD1264" s="1"/>
      <c r="HE1264" s="1"/>
      <c r="HF1264" s="1"/>
      <c r="HG1264" s="1"/>
      <c r="HH1264" s="1"/>
    </row>
    <row r="1265" spans="1:216" x14ac:dyDescent="0.3">
      <c r="A1265" s="3"/>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1"/>
      <c r="GD1265" s="1"/>
      <c r="GE1265" s="1"/>
      <c r="GF1265" s="1"/>
      <c r="GG1265" s="1"/>
      <c r="GH1265" s="1"/>
      <c r="GI1265" s="1"/>
      <c r="GJ1265" s="1"/>
      <c r="GK1265" s="1"/>
      <c r="GL1265" s="1"/>
      <c r="GM1265" s="1"/>
      <c r="GN1265" s="1"/>
      <c r="GO1265" s="1"/>
      <c r="GP1265" s="1"/>
      <c r="GQ1265" s="1"/>
      <c r="GR1265" s="1"/>
      <c r="GS1265" s="1"/>
      <c r="GT1265" s="1"/>
      <c r="GU1265" s="1"/>
      <c r="GV1265" s="1"/>
      <c r="GW1265" s="1"/>
      <c r="GX1265" s="1"/>
      <c r="GY1265" s="1"/>
      <c r="GZ1265" s="1"/>
      <c r="HA1265" s="1"/>
      <c r="HB1265" s="1"/>
      <c r="HC1265" s="1"/>
      <c r="HD1265" s="1"/>
      <c r="HE1265" s="1"/>
      <c r="HF1265" s="1"/>
      <c r="HG1265" s="1"/>
      <c r="HH1265" s="1"/>
    </row>
    <row r="1266" spans="1:216" x14ac:dyDescent="0.3">
      <c r="A1266" s="3"/>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c r="FT1266" s="1"/>
      <c r="FU1266" s="1"/>
      <c r="FV1266" s="1"/>
      <c r="FW1266" s="1"/>
      <c r="FX1266" s="1"/>
      <c r="FY1266" s="1"/>
      <c r="FZ1266" s="1"/>
      <c r="GA1266" s="1"/>
      <c r="GB1266" s="1"/>
      <c r="GC1266" s="1"/>
      <c r="GD1266" s="1"/>
      <c r="GE1266" s="1"/>
      <c r="GF1266" s="1"/>
      <c r="GG1266" s="1"/>
      <c r="GH1266" s="1"/>
      <c r="GI1266" s="1"/>
      <c r="GJ1266" s="1"/>
      <c r="GK1266" s="1"/>
      <c r="GL1266" s="1"/>
      <c r="GM1266" s="1"/>
      <c r="GN1266" s="1"/>
      <c r="GO1266" s="1"/>
      <c r="GP1266" s="1"/>
      <c r="GQ1266" s="1"/>
      <c r="GR1266" s="1"/>
      <c r="GS1266" s="1"/>
      <c r="GT1266" s="1"/>
      <c r="GU1266" s="1"/>
      <c r="GV1266" s="1"/>
      <c r="GW1266" s="1"/>
      <c r="GX1266" s="1"/>
      <c r="GY1266" s="1"/>
      <c r="GZ1266" s="1"/>
      <c r="HA1266" s="1"/>
      <c r="HB1266" s="1"/>
      <c r="HC1266" s="1"/>
      <c r="HD1266" s="1"/>
      <c r="HE1266" s="1"/>
      <c r="HF1266" s="1"/>
      <c r="HG1266" s="1"/>
      <c r="HH1266" s="1"/>
    </row>
    <row r="1267" spans="1:216" x14ac:dyDescent="0.3">
      <c r="A1267" s="3"/>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c r="FT1267" s="1"/>
      <c r="FU1267" s="1"/>
      <c r="FV1267" s="1"/>
      <c r="FW1267" s="1"/>
      <c r="FX1267" s="1"/>
      <c r="FY1267" s="1"/>
      <c r="FZ1267" s="1"/>
      <c r="GA1267" s="1"/>
      <c r="GB1267" s="1"/>
      <c r="GC1267" s="1"/>
      <c r="GD1267" s="1"/>
      <c r="GE1267" s="1"/>
      <c r="GF1267" s="1"/>
      <c r="GG1267" s="1"/>
      <c r="GH1267" s="1"/>
      <c r="GI1267" s="1"/>
      <c r="GJ1267" s="1"/>
      <c r="GK1267" s="1"/>
      <c r="GL1267" s="1"/>
      <c r="GM1267" s="1"/>
      <c r="GN1267" s="1"/>
      <c r="GO1267" s="1"/>
      <c r="GP1267" s="1"/>
      <c r="GQ1267" s="1"/>
      <c r="GR1267" s="1"/>
      <c r="GS1267" s="1"/>
      <c r="GT1267" s="1"/>
      <c r="GU1267" s="1"/>
      <c r="GV1267" s="1"/>
      <c r="GW1267" s="1"/>
      <c r="GX1267" s="1"/>
      <c r="GY1267" s="1"/>
      <c r="GZ1267" s="1"/>
      <c r="HA1267" s="1"/>
      <c r="HB1267" s="1"/>
      <c r="HC1267" s="1"/>
      <c r="HD1267" s="1"/>
      <c r="HE1267" s="1"/>
      <c r="HF1267" s="1"/>
      <c r="HG1267" s="1"/>
      <c r="HH1267" s="1"/>
    </row>
    <row r="1268" spans="1:216" x14ac:dyDescent="0.3">
      <c r="A1268" s="3"/>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c r="FT1268" s="1"/>
      <c r="FU1268" s="1"/>
      <c r="FV1268" s="1"/>
      <c r="FW1268" s="1"/>
      <c r="FX1268" s="1"/>
      <c r="FY1268" s="1"/>
      <c r="FZ1268" s="1"/>
      <c r="GA1268" s="1"/>
      <c r="GB1268" s="1"/>
      <c r="GC1268" s="1"/>
      <c r="GD1268" s="1"/>
      <c r="GE1268" s="1"/>
      <c r="GF1268" s="1"/>
      <c r="GG1268" s="1"/>
      <c r="GH1268" s="1"/>
      <c r="GI1268" s="1"/>
      <c r="GJ1268" s="1"/>
      <c r="GK1268" s="1"/>
      <c r="GL1268" s="1"/>
      <c r="GM1268" s="1"/>
      <c r="GN1268" s="1"/>
      <c r="GO1268" s="1"/>
      <c r="GP1268" s="1"/>
      <c r="GQ1268" s="1"/>
      <c r="GR1268" s="1"/>
      <c r="GS1268" s="1"/>
      <c r="GT1268" s="1"/>
      <c r="GU1268" s="1"/>
      <c r="GV1268" s="1"/>
      <c r="GW1268" s="1"/>
      <c r="GX1268" s="1"/>
      <c r="GY1268" s="1"/>
      <c r="GZ1268" s="1"/>
      <c r="HA1268" s="1"/>
      <c r="HB1268" s="1"/>
      <c r="HC1268" s="1"/>
      <c r="HD1268" s="1"/>
      <c r="HE1268" s="1"/>
      <c r="HF1268" s="1"/>
      <c r="HG1268" s="1"/>
      <c r="HH1268" s="1"/>
    </row>
    <row r="1269" spans="1:216" x14ac:dyDescent="0.3">
      <c r="A1269" s="3"/>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c r="FT1269" s="1"/>
      <c r="FU1269" s="1"/>
      <c r="FV1269" s="1"/>
      <c r="FW1269" s="1"/>
      <c r="FX1269" s="1"/>
      <c r="FY1269" s="1"/>
      <c r="FZ1269" s="1"/>
      <c r="GA1269" s="1"/>
      <c r="GB1269" s="1"/>
      <c r="GC1269" s="1"/>
      <c r="GD1269" s="1"/>
      <c r="GE1269" s="1"/>
      <c r="GF1269" s="1"/>
      <c r="GG1269" s="1"/>
      <c r="GH1269" s="1"/>
      <c r="GI1269" s="1"/>
      <c r="GJ1269" s="1"/>
      <c r="GK1269" s="1"/>
      <c r="GL1269" s="1"/>
      <c r="GM1269" s="1"/>
      <c r="GN1269" s="1"/>
      <c r="GO1269" s="1"/>
      <c r="GP1269" s="1"/>
      <c r="GQ1269" s="1"/>
      <c r="GR1269" s="1"/>
      <c r="GS1269" s="1"/>
      <c r="GT1269" s="1"/>
      <c r="GU1269" s="1"/>
      <c r="GV1269" s="1"/>
      <c r="GW1269" s="1"/>
      <c r="GX1269" s="1"/>
      <c r="GY1269" s="1"/>
      <c r="GZ1269" s="1"/>
      <c r="HA1269" s="1"/>
      <c r="HB1269" s="1"/>
      <c r="HC1269" s="1"/>
      <c r="HD1269" s="1"/>
      <c r="HE1269" s="1"/>
      <c r="HF1269" s="1"/>
      <c r="HG1269" s="1"/>
      <c r="HH1269" s="1"/>
    </row>
    <row r="1270" spans="1:216" x14ac:dyDescent="0.3">
      <c r="A1270" s="3"/>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1"/>
      <c r="GD1270" s="1"/>
      <c r="GE1270" s="1"/>
      <c r="GF1270" s="1"/>
      <c r="GG1270" s="1"/>
      <c r="GH1270" s="1"/>
      <c r="GI1270" s="1"/>
      <c r="GJ1270" s="1"/>
      <c r="GK1270" s="1"/>
      <c r="GL1270" s="1"/>
      <c r="GM1270" s="1"/>
      <c r="GN1270" s="1"/>
      <c r="GO1270" s="1"/>
      <c r="GP1270" s="1"/>
      <c r="GQ1270" s="1"/>
      <c r="GR1270" s="1"/>
      <c r="GS1270" s="1"/>
      <c r="GT1270" s="1"/>
      <c r="GU1270" s="1"/>
      <c r="GV1270" s="1"/>
      <c r="GW1270" s="1"/>
      <c r="GX1270" s="1"/>
      <c r="GY1270" s="1"/>
      <c r="GZ1270" s="1"/>
      <c r="HA1270" s="1"/>
      <c r="HB1270" s="1"/>
      <c r="HC1270" s="1"/>
      <c r="HD1270" s="1"/>
      <c r="HE1270" s="1"/>
      <c r="HF1270" s="1"/>
      <c r="HG1270" s="1"/>
      <c r="HH1270" s="1"/>
    </row>
    <row r="1271" spans="1:216" x14ac:dyDescent="0.3">
      <c r="A1271" s="3"/>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1"/>
      <c r="GD1271" s="1"/>
      <c r="GE1271" s="1"/>
      <c r="GF1271" s="1"/>
      <c r="GG1271" s="1"/>
      <c r="GH1271" s="1"/>
      <c r="GI1271" s="1"/>
      <c r="GJ1271" s="1"/>
      <c r="GK1271" s="1"/>
      <c r="GL1271" s="1"/>
      <c r="GM1271" s="1"/>
      <c r="GN1271" s="1"/>
      <c r="GO1271" s="1"/>
      <c r="GP1271" s="1"/>
      <c r="GQ1271" s="1"/>
      <c r="GR1271" s="1"/>
      <c r="GS1271" s="1"/>
      <c r="GT1271" s="1"/>
      <c r="GU1271" s="1"/>
      <c r="GV1271" s="1"/>
      <c r="GW1271" s="1"/>
      <c r="GX1271" s="1"/>
      <c r="GY1271" s="1"/>
      <c r="GZ1271" s="1"/>
      <c r="HA1271" s="1"/>
      <c r="HB1271" s="1"/>
      <c r="HC1271" s="1"/>
      <c r="HD1271" s="1"/>
      <c r="HE1271" s="1"/>
      <c r="HF1271" s="1"/>
      <c r="HG1271" s="1"/>
      <c r="HH1271" s="1"/>
    </row>
    <row r="1272" spans="1:216" x14ac:dyDescent="0.3">
      <c r="A1272" s="3"/>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c r="FT1272" s="1"/>
      <c r="FU1272" s="1"/>
      <c r="FV1272" s="1"/>
      <c r="FW1272" s="1"/>
      <c r="FX1272" s="1"/>
      <c r="FY1272" s="1"/>
      <c r="FZ1272" s="1"/>
      <c r="GA1272" s="1"/>
      <c r="GB1272" s="1"/>
      <c r="GC1272" s="1"/>
      <c r="GD1272" s="1"/>
      <c r="GE1272" s="1"/>
      <c r="GF1272" s="1"/>
      <c r="GG1272" s="1"/>
      <c r="GH1272" s="1"/>
      <c r="GI1272" s="1"/>
      <c r="GJ1272" s="1"/>
      <c r="GK1272" s="1"/>
      <c r="GL1272" s="1"/>
      <c r="GM1272" s="1"/>
      <c r="GN1272" s="1"/>
      <c r="GO1272" s="1"/>
      <c r="GP1272" s="1"/>
      <c r="GQ1272" s="1"/>
      <c r="GR1272" s="1"/>
      <c r="GS1272" s="1"/>
      <c r="GT1272" s="1"/>
      <c r="GU1272" s="1"/>
      <c r="GV1272" s="1"/>
      <c r="GW1272" s="1"/>
      <c r="GX1272" s="1"/>
      <c r="GY1272" s="1"/>
      <c r="GZ1272" s="1"/>
      <c r="HA1272" s="1"/>
      <c r="HB1272" s="1"/>
      <c r="HC1272" s="1"/>
      <c r="HD1272" s="1"/>
      <c r="HE1272" s="1"/>
      <c r="HF1272" s="1"/>
      <c r="HG1272" s="1"/>
      <c r="HH1272" s="1"/>
    </row>
    <row r="1273" spans="1:216" x14ac:dyDescent="0.3">
      <c r="A1273" s="3"/>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c r="FT1273" s="1"/>
      <c r="FU1273" s="1"/>
      <c r="FV1273" s="1"/>
      <c r="FW1273" s="1"/>
      <c r="FX1273" s="1"/>
      <c r="FY1273" s="1"/>
      <c r="FZ1273" s="1"/>
      <c r="GA1273" s="1"/>
      <c r="GB1273" s="1"/>
      <c r="GC1273" s="1"/>
      <c r="GD1273" s="1"/>
      <c r="GE1273" s="1"/>
      <c r="GF1273" s="1"/>
      <c r="GG1273" s="1"/>
      <c r="GH1273" s="1"/>
      <c r="GI1273" s="1"/>
      <c r="GJ1273" s="1"/>
      <c r="GK1273" s="1"/>
      <c r="GL1273" s="1"/>
      <c r="GM1273" s="1"/>
      <c r="GN1273" s="1"/>
      <c r="GO1273" s="1"/>
      <c r="GP1273" s="1"/>
      <c r="GQ1273" s="1"/>
      <c r="GR1273" s="1"/>
      <c r="GS1273" s="1"/>
      <c r="GT1273" s="1"/>
      <c r="GU1273" s="1"/>
      <c r="GV1273" s="1"/>
      <c r="GW1273" s="1"/>
      <c r="GX1273" s="1"/>
      <c r="GY1273" s="1"/>
      <c r="GZ1273" s="1"/>
      <c r="HA1273" s="1"/>
      <c r="HB1273" s="1"/>
      <c r="HC1273" s="1"/>
      <c r="HD1273" s="1"/>
      <c r="HE1273" s="1"/>
      <c r="HF1273" s="1"/>
      <c r="HG1273" s="1"/>
      <c r="HH1273" s="1"/>
    </row>
    <row r="1274" spans="1:216" x14ac:dyDescent="0.3">
      <c r="A1274" s="3"/>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c r="FT1274" s="1"/>
      <c r="FU1274" s="1"/>
      <c r="FV1274" s="1"/>
      <c r="FW1274" s="1"/>
      <c r="FX1274" s="1"/>
      <c r="FY1274" s="1"/>
      <c r="FZ1274" s="1"/>
      <c r="GA1274" s="1"/>
      <c r="GB1274" s="1"/>
      <c r="GC1274" s="1"/>
      <c r="GD1274" s="1"/>
      <c r="GE1274" s="1"/>
      <c r="GF1274" s="1"/>
      <c r="GG1274" s="1"/>
      <c r="GH1274" s="1"/>
      <c r="GI1274" s="1"/>
      <c r="GJ1274" s="1"/>
      <c r="GK1274" s="1"/>
      <c r="GL1274" s="1"/>
      <c r="GM1274" s="1"/>
      <c r="GN1274" s="1"/>
      <c r="GO1274" s="1"/>
      <c r="GP1274" s="1"/>
      <c r="GQ1274" s="1"/>
      <c r="GR1274" s="1"/>
      <c r="GS1274" s="1"/>
      <c r="GT1274" s="1"/>
      <c r="GU1274" s="1"/>
      <c r="GV1274" s="1"/>
      <c r="GW1274" s="1"/>
      <c r="GX1274" s="1"/>
      <c r="GY1274" s="1"/>
      <c r="GZ1274" s="1"/>
      <c r="HA1274" s="1"/>
      <c r="HB1274" s="1"/>
      <c r="HC1274" s="1"/>
      <c r="HD1274" s="1"/>
      <c r="HE1274" s="1"/>
      <c r="HF1274" s="1"/>
      <c r="HG1274" s="1"/>
      <c r="HH1274" s="1"/>
    </row>
    <row r="1275" spans="1:216" x14ac:dyDescent="0.3">
      <c r="A1275" s="3"/>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c r="FT1275" s="1"/>
      <c r="FU1275" s="1"/>
      <c r="FV1275" s="1"/>
      <c r="FW1275" s="1"/>
      <c r="FX1275" s="1"/>
      <c r="FY1275" s="1"/>
      <c r="FZ1275" s="1"/>
      <c r="GA1275" s="1"/>
      <c r="GB1275" s="1"/>
      <c r="GC1275" s="1"/>
      <c r="GD1275" s="1"/>
      <c r="GE1275" s="1"/>
      <c r="GF1275" s="1"/>
      <c r="GG1275" s="1"/>
      <c r="GH1275" s="1"/>
      <c r="GI1275" s="1"/>
      <c r="GJ1275" s="1"/>
      <c r="GK1275" s="1"/>
      <c r="GL1275" s="1"/>
      <c r="GM1275" s="1"/>
      <c r="GN1275" s="1"/>
      <c r="GO1275" s="1"/>
      <c r="GP1275" s="1"/>
      <c r="GQ1275" s="1"/>
      <c r="GR1275" s="1"/>
      <c r="GS1275" s="1"/>
      <c r="GT1275" s="1"/>
      <c r="GU1275" s="1"/>
      <c r="GV1275" s="1"/>
      <c r="GW1275" s="1"/>
      <c r="GX1275" s="1"/>
      <c r="GY1275" s="1"/>
      <c r="GZ1275" s="1"/>
      <c r="HA1275" s="1"/>
      <c r="HB1275" s="1"/>
      <c r="HC1275" s="1"/>
      <c r="HD1275" s="1"/>
      <c r="HE1275" s="1"/>
      <c r="HF1275" s="1"/>
      <c r="HG1275" s="1"/>
      <c r="HH1275" s="1"/>
    </row>
    <row r="1276" spans="1:216" x14ac:dyDescent="0.3">
      <c r="A1276" s="3"/>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c r="FT1276" s="1"/>
      <c r="FU1276" s="1"/>
      <c r="FV1276" s="1"/>
      <c r="FW1276" s="1"/>
      <c r="FX1276" s="1"/>
      <c r="FY1276" s="1"/>
      <c r="FZ1276" s="1"/>
      <c r="GA1276" s="1"/>
      <c r="GB1276" s="1"/>
      <c r="GC1276" s="1"/>
      <c r="GD1276" s="1"/>
      <c r="GE1276" s="1"/>
      <c r="GF1276" s="1"/>
      <c r="GG1276" s="1"/>
      <c r="GH1276" s="1"/>
      <c r="GI1276" s="1"/>
      <c r="GJ1276" s="1"/>
      <c r="GK1276" s="1"/>
      <c r="GL1276" s="1"/>
      <c r="GM1276" s="1"/>
      <c r="GN1276" s="1"/>
      <c r="GO1276" s="1"/>
      <c r="GP1276" s="1"/>
      <c r="GQ1276" s="1"/>
      <c r="GR1276" s="1"/>
      <c r="GS1276" s="1"/>
      <c r="GT1276" s="1"/>
      <c r="GU1276" s="1"/>
      <c r="GV1276" s="1"/>
      <c r="GW1276" s="1"/>
      <c r="GX1276" s="1"/>
      <c r="GY1276" s="1"/>
      <c r="GZ1276" s="1"/>
      <c r="HA1276" s="1"/>
      <c r="HB1276" s="1"/>
      <c r="HC1276" s="1"/>
      <c r="HD1276" s="1"/>
      <c r="HE1276" s="1"/>
      <c r="HF1276" s="1"/>
      <c r="HG1276" s="1"/>
      <c r="HH1276" s="1"/>
    </row>
    <row r="1277" spans="1:216" x14ac:dyDescent="0.3">
      <c r="A1277" s="3"/>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c r="FT1277" s="1"/>
      <c r="FU1277" s="1"/>
      <c r="FV1277" s="1"/>
      <c r="FW1277" s="1"/>
      <c r="FX1277" s="1"/>
      <c r="FY1277" s="1"/>
      <c r="FZ1277" s="1"/>
      <c r="GA1277" s="1"/>
      <c r="GB1277" s="1"/>
      <c r="GC1277" s="1"/>
      <c r="GD1277" s="1"/>
      <c r="GE1277" s="1"/>
      <c r="GF1277" s="1"/>
      <c r="GG1277" s="1"/>
      <c r="GH1277" s="1"/>
      <c r="GI1277" s="1"/>
      <c r="GJ1277" s="1"/>
      <c r="GK1277" s="1"/>
      <c r="GL1277" s="1"/>
      <c r="GM1277" s="1"/>
      <c r="GN1277" s="1"/>
      <c r="GO1277" s="1"/>
      <c r="GP1277" s="1"/>
      <c r="GQ1277" s="1"/>
      <c r="GR1277" s="1"/>
      <c r="GS1277" s="1"/>
      <c r="GT1277" s="1"/>
      <c r="GU1277" s="1"/>
      <c r="GV1277" s="1"/>
      <c r="GW1277" s="1"/>
      <c r="GX1277" s="1"/>
      <c r="GY1277" s="1"/>
      <c r="GZ1277" s="1"/>
      <c r="HA1277" s="1"/>
      <c r="HB1277" s="1"/>
      <c r="HC1277" s="1"/>
      <c r="HD1277" s="1"/>
      <c r="HE1277" s="1"/>
      <c r="HF1277" s="1"/>
      <c r="HG1277" s="1"/>
      <c r="HH1277" s="1"/>
    </row>
    <row r="1278" spans="1:216" x14ac:dyDescent="0.3">
      <c r="A1278" s="3"/>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c r="FT1278" s="1"/>
      <c r="FU1278" s="1"/>
      <c r="FV1278" s="1"/>
      <c r="FW1278" s="1"/>
      <c r="FX1278" s="1"/>
      <c r="FY1278" s="1"/>
      <c r="FZ1278" s="1"/>
      <c r="GA1278" s="1"/>
      <c r="GB1278" s="1"/>
      <c r="GC1278" s="1"/>
      <c r="GD1278" s="1"/>
      <c r="GE1278" s="1"/>
      <c r="GF1278" s="1"/>
      <c r="GG1278" s="1"/>
      <c r="GH1278" s="1"/>
      <c r="GI1278" s="1"/>
      <c r="GJ1278" s="1"/>
      <c r="GK1278" s="1"/>
      <c r="GL1278" s="1"/>
      <c r="GM1278" s="1"/>
      <c r="GN1278" s="1"/>
      <c r="GO1278" s="1"/>
      <c r="GP1278" s="1"/>
      <c r="GQ1278" s="1"/>
      <c r="GR1278" s="1"/>
      <c r="GS1278" s="1"/>
      <c r="GT1278" s="1"/>
      <c r="GU1278" s="1"/>
      <c r="GV1278" s="1"/>
      <c r="GW1278" s="1"/>
      <c r="GX1278" s="1"/>
      <c r="GY1278" s="1"/>
      <c r="GZ1278" s="1"/>
      <c r="HA1278" s="1"/>
      <c r="HB1278" s="1"/>
      <c r="HC1278" s="1"/>
      <c r="HD1278" s="1"/>
      <c r="HE1278" s="1"/>
      <c r="HF1278" s="1"/>
      <c r="HG1278" s="1"/>
      <c r="HH1278" s="1"/>
    </row>
    <row r="1279" spans="1:216" x14ac:dyDescent="0.3">
      <c r="A1279" s="3"/>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c r="FT1279" s="1"/>
      <c r="FU1279" s="1"/>
      <c r="FV1279" s="1"/>
      <c r="FW1279" s="1"/>
      <c r="FX1279" s="1"/>
      <c r="FY1279" s="1"/>
      <c r="FZ1279" s="1"/>
      <c r="GA1279" s="1"/>
      <c r="GB1279" s="1"/>
      <c r="GC1279" s="1"/>
      <c r="GD1279" s="1"/>
      <c r="GE1279" s="1"/>
      <c r="GF1279" s="1"/>
      <c r="GG1279" s="1"/>
      <c r="GH1279" s="1"/>
      <c r="GI1279" s="1"/>
      <c r="GJ1279" s="1"/>
      <c r="GK1279" s="1"/>
      <c r="GL1279" s="1"/>
      <c r="GM1279" s="1"/>
      <c r="GN1279" s="1"/>
      <c r="GO1279" s="1"/>
      <c r="GP1279" s="1"/>
      <c r="GQ1279" s="1"/>
      <c r="GR1279" s="1"/>
      <c r="GS1279" s="1"/>
      <c r="GT1279" s="1"/>
      <c r="GU1279" s="1"/>
      <c r="GV1279" s="1"/>
      <c r="GW1279" s="1"/>
      <c r="GX1279" s="1"/>
      <c r="GY1279" s="1"/>
      <c r="GZ1279" s="1"/>
      <c r="HA1279" s="1"/>
      <c r="HB1279" s="1"/>
      <c r="HC1279" s="1"/>
      <c r="HD1279" s="1"/>
      <c r="HE1279" s="1"/>
      <c r="HF1279" s="1"/>
      <c r="HG1279" s="1"/>
      <c r="HH1279" s="1"/>
    </row>
    <row r="1280" spans="1:216" x14ac:dyDescent="0.3">
      <c r="A1280" s="3"/>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c r="FT1280" s="1"/>
      <c r="FU1280" s="1"/>
      <c r="FV1280" s="1"/>
      <c r="FW1280" s="1"/>
      <c r="FX1280" s="1"/>
      <c r="FY1280" s="1"/>
      <c r="FZ1280" s="1"/>
      <c r="GA1280" s="1"/>
      <c r="GB1280" s="1"/>
      <c r="GC1280" s="1"/>
      <c r="GD1280" s="1"/>
      <c r="GE1280" s="1"/>
      <c r="GF1280" s="1"/>
      <c r="GG1280" s="1"/>
      <c r="GH1280" s="1"/>
      <c r="GI1280" s="1"/>
      <c r="GJ1280" s="1"/>
      <c r="GK1280" s="1"/>
      <c r="GL1280" s="1"/>
      <c r="GM1280" s="1"/>
      <c r="GN1280" s="1"/>
      <c r="GO1280" s="1"/>
      <c r="GP1280" s="1"/>
      <c r="GQ1280" s="1"/>
      <c r="GR1280" s="1"/>
      <c r="GS1280" s="1"/>
      <c r="GT1280" s="1"/>
      <c r="GU1280" s="1"/>
      <c r="GV1280" s="1"/>
      <c r="GW1280" s="1"/>
      <c r="GX1280" s="1"/>
      <c r="GY1280" s="1"/>
      <c r="GZ1280" s="1"/>
      <c r="HA1280" s="1"/>
      <c r="HB1280" s="1"/>
      <c r="HC1280" s="1"/>
      <c r="HD1280" s="1"/>
      <c r="HE1280" s="1"/>
      <c r="HF1280" s="1"/>
      <c r="HG1280" s="1"/>
      <c r="HH1280" s="1"/>
    </row>
    <row r="1281" spans="1:216" x14ac:dyDescent="0.3">
      <c r="A1281" s="3"/>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c r="FT1281" s="1"/>
      <c r="FU1281" s="1"/>
      <c r="FV1281" s="1"/>
      <c r="FW1281" s="1"/>
      <c r="FX1281" s="1"/>
      <c r="FY1281" s="1"/>
      <c r="FZ1281" s="1"/>
      <c r="GA1281" s="1"/>
      <c r="GB1281" s="1"/>
      <c r="GC1281" s="1"/>
      <c r="GD1281" s="1"/>
      <c r="GE1281" s="1"/>
      <c r="GF1281" s="1"/>
      <c r="GG1281" s="1"/>
      <c r="GH1281" s="1"/>
      <c r="GI1281" s="1"/>
      <c r="GJ1281" s="1"/>
      <c r="GK1281" s="1"/>
      <c r="GL1281" s="1"/>
      <c r="GM1281" s="1"/>
      <c r="GN1281" s="1"/>
      <c r="GO1281" s="1"/>
      <c r="GP1281" s="1"/>
      <c r="GQ1281" s="1"/>
      <c r="GR1281" s="1"/>
      <c r="GS1281" s="1"/>
      <c r="GT1281" s="1"/>
      <c r="GU1281" s="1"/>
      <c r="GV1281" s="1"/>
      <c r="GW1281" s="1"/>
      <c r="GX1281" s="1"/>
      <c r="GY1281" s="1"/>
      <c r="GZ1281" s="1"/>
      <c r="HA1281" s="1"/>
      <c r="HB1281" s="1"/>
      <c r="HC1281" s="1"/>
      <c r="HD1281" s="1"/>
      <c r="HE1281" s="1"/>
      <c r="HF1281" s="1"/>
      <c r="HG1281" s="1"/>
      <c r="HH1281" s="1"/>
    </row>
    <row r="1282" spans="1:216" x14ac:dyDescent="0.3">
      <c r="A1282" s="3"/>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c r="FT1282" s="1"/>
      <c r="FU1282" s="1"/>
      <c r="FV1282" s="1"/>
      <c r="FW1282" s="1"/>
      <c r="FX1282" s="1"/>
      <c r="FY1282" s="1"/>
      <c r="FZ1282" s="1"/>
      <c r="GA1282" s="1"/>
      <c r="GB1282" s="1"/>
      <c r="GC1282" s="1"/>
      <c r="GD1282" s="1"/>
      <c r="GE1282" s="1"/>
      <c r="GF1282" s="1"/>
      <c r="GG1282" s="1"/>
      <c r="GH1282" s="1"/>
      <c r="GI1282" s="1"/>
      <c r="GJ1282" s="1"/>
      <c r="GK1282" s="1"/>
      <c r="GL1282" s="1"/>
      <c r="GM1282" s="1"/>
      <c r="GN1282" s="1"/>
      <c r="GO1282" s="1"/>
      <c r="GP1282" s="1"/>
      <c r="GQ1282" s="1"/>
      <c r="GR1282" s="1"/>
      <c r="GS1282" s="1"/>
      <c r="GT1282" s="1"/>
      <c r="GU1282" s="1"/>
      <c r="GV1282" s="1"/>
      <c r="GW1282" s="1"/>
      <c r="GX1282" s="1"/>
      <c r="GY1282" s="1"/>
      <c r="GZ1282" s="1"/>
      <c r="HA1282" s="1"/>
      <c r="HB1282" s="1"/>
      <c r="HC1282" s="1"/>
      <c r="HD1282" s="1"/>
      <c r="HE1282" s="1"/>
      <c r="HF1282" s="1"/>
      <c r="HG1282" s="1"/>
      <c r="HH1282" s="1"/>
    </row>
    <row r="1283" spans="1:216" x14ac:dyDescent="0.3">
      <c r="A1283" s="3"/>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1"/>
      <c r="GD1283" s="1"/>
      <c r="GE1283" s="1"/>
      <c r="GF1283" s="1"/>
      <c r="GG1283" s="1"/>
      <c r="GH1283" s="1"/>
      <c r="GI1283" s="1"/>
      <c r="GJ1283" s="1"/>
      <c r="GK1283" s="1"/>
      <c r="GL1283" s="1"/>
      <c r="GM1283" s="1"/>
      <c r="GN1283" s="1"/>
      <c r="GO1283" s="1"/>
      <c r="GP1283" s="1"/>
      <c r="GQ1283" s="1"/>
      <c r="GR1283" s="1"/>
      <c r="GS1283" s="1"/>
      <c r="GT1283" s="1"/>
      <c r="GU1283" s="1"/>
      <c r="GV1283" s="1"/>
      <c r="GW1283" s="1"/>
      <c r="GX1283" s="1"/>
      <c r="GY1283" s="1"/>
      <c r="GZ1283" s="1"/>
      <c r="HA1283" s="1"/>
      <c r="HB1283" s="1"/>
      <c r="HC1283" s="1"/>
      <c r="HD1283" s="1"/>
      <c r="HE1283" s="1"/>
      <c r="HF1283" s="1"/>
      <c r="HG1283" s="1"/>
      <c r="HH1283" s="1"/>
    </row>
    <row r="1284" spans="1:216" x14ac:dyDescent="0.3">
      <c r="A1284" s="3"/>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1"/>
      <c r="GD1284" s="1"/>
      <c r="GE1284" s="1"/>
      <c r="GF1284" s="1"/>
      <c r="GG1284" s="1"/>
      <c r="GH1284" s="1"/>
      <c r="GI1284" s="1"/>
      <c r="GJ1284" s="1"/>
      <c r="GK1284" s="1"/>
      <c r="GL1284" s="1"/>
      <c r="GM1284" s="1"/>
      <c r="GN1284" s="1"/>
      <c r="GO1284" s="1"/>
      <c r="GP1284" s="1"/>
      <c r="GQ1284" s="1"/>
      <c r="GR1284" s="1"/>
      <c r="GS1284" s="1"/>
      <c r="GT1284" s="1"/>
      <c r="GU1284" s="1"/>
      <c r="GV1284" s="1"/>
      <c r="GW1284" s="1"/>
      <c r="GX1284" s="1"/>
      <c r="GY1284" s="1"/>
      <c r="GZ1284" s="1"/>
      <c r="HA1284" s="1"/>
      <c r="HB1284" s="1"/>
      <c r="HC1284" s="1"/>
      <c r="HD1284" s="1"/>
      <c r="HE1284" s="1"/>
      <c r="HF1284" s="1"/>
      <c r="HG1284" s="1"/>
      <c r="HH1284" s="1"/>
    </row>
    <row r="1285" spans="1:216" x14ac:dyDescent="0.3">
      <c r="A1285" s="3"/>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c r="FT1285" s="1"/>
      <c r="FU1285" s="1"/>
      <c r="FV1285" s="1"/>
      <c r="FW1285" s="1"/>
      <c r="FX1285" s="1"/>
      <c r="FY1285" s="1"/>
      <c r="FZ1285" s="1"/>
      <c r="GA1285" s="1"/>
      <c r="GB1285" s="1"/>
      <c r="GC1285" s="1"/>
      <c r="GD1285" s="1"/>
      <c r="GE1285" s="1"/>
      <c r="GF1285" s="1"/>
      <c r="GG1285" s="1"/>
      <c r="GH1285" s="1"/>
      <c r="GI1285" s="1"/>
      <c r="GJ1285" s="1"/>
      <c r="GK1285" s="1"/>
      <c r="GL1285" s="1"/>
      <c r="GM1285" s="1"/>
      <c r="GN1285" s="1"/>
      <c r="GO1285" s="1"/>
      <c r="GP1285" s="1"/>
      <c r="GQ1285" s="1"/>
      <c r="GR1285" s="1"/>
      <c r="GS1285" s="1"/>
      <c r="GT1285" s="1"/>
      <c r="GU1285" s="1"/>
      <c r="GV1285" s="1"/>
      <c r="GW1285" s="1"/>
      <c r="GX1285" s="1"/>
      <c r="GY1285" s="1"/>
      <c r="GZ1285" s="1"/>
      <c r="HA1285" s="1"/>
      <c r="HB1285" s="1"/>
      <c r="HC1285" s="1"/>
      <c r="HD1285" s="1"/>
      <c r="HE1285" s="1"/>
      <c r="HF1285" s="1"/>
      <c r="HG1285" s="1"/>
      <c r="HH1285" s="1"/>
    </row>
    <row r="1286" spans="1:216" x14ac:dyDescent="0.3">
      <c r="A1286" s="3"/>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c r="FT1286" s="1"/>
      <c r="FU1286" s="1"/>
      <c r="FV1286" s="1"/>
      <c r="FW1286" s="1"/>
      <c r="FX1286" s="1"/>
      <c r="FY1286" s="1"/>
      <c r="FZ1286" s="1"/>
      <c r="GA1286" s="1"/>
      <c r="GB1286" s="1"/>
      <c r="GC1286" s="1"/>
      <c r="GD1286" s="1"/>
      <c r="GE1286" s="1"/>
      <c r="GF1286" s="1"/>
      <c r="GG1286" s="1"/>
      <c r="GH1286" s="1"/>
      <c r="GI1286" s="1"/>
      <c r="GJ1286" s="1"/>
      <c r="GK1286" s="1"/>
      <c r="GL1286" s="1"/>
      <c r="GM1286" s="1"/>
      <c r="GN1286" s="1"/>
      <c r="GO1286" s="1"/>
      <c r="GP1286" s="1"/>
      <c r="GQ1286" s="1"/>
      <c r="GR1286" s="1"/>
      <c r="GS1286" s="1"/>
      <c r="GT1286" s="1"/>
      <c r="GU1286" s="1"/>
      <c r="GV1286" s="1"/>
      <c r="GW1286" s="1"/>
      <c r="GX1286" s="1"/>
      <c r="GY1286" s="1"/>
      <c r="GZ1286" s="1"/>
      <c r="HA1286" s="1"/>
      <c r="HB1286" s="1"/>
      <c r="HC1286" s="1"/>
      <c r="HD1286" s="1"/>
      <c r="HE1286" s="1"/>
      <c r="HF1286" s="1"/>
      <c r="HG1286" s="1"/>
      <c r="HH1286" s="1"/>
    </row>
    <row r="1287" spans="1:216" x14ac:dyDescent="0.3">
      <c r="A1287" s="3"/>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1"/>
      <c r="GD1287" s="1"/>
      <c r="GE1287" s="1"/>
      <c r="GF1287" s="1"/>
      <c r="GG1287" s="1"/>
      <c r="GH1287" s="1"/>
      <c r="GI1287" s="1"/>
      <c r="GJ1287" s="1"/>
      <c r="GK1287" s="1"/>
      <c r="GL1287" s="1"/>
      <c r="GM1287" s="1"/>
      <c r="GN1287" s="1"/>
      <c r="GO1287" s="1"/>
      <c r="GP1287" s="1"/>
      <c r="GQ1287" s="1"/>
      <c r="GR1287" s="1"/>
      <c r="GS1287" s="1"/>
      <c r="GT1287" s="1"/>
      <c r="GU1287" s="1"/>
      <c r="GV1287" s="1"/>
      <c r="GW1287" s="1"/>
      <c r="GX1287" s="1"/>
      <c r="GY1287" s="1"/>
      <c r="GZ1287" s="1"/>
      <c r="HA1287" s="1"/>
      <c r="HB1287" s="1"/>
      <c r="HC1287" s="1"/>
      <c r="HD1287" s="1"/>
      <c r="HE1287" s="1"/>
      <c r="HF1287" s="1"/>
      <c r="HG1287" s="1"/>
      <c r="HH1287" s="1"/>
    </row>
    <row r="1288" spans="1:216" x14ac:dyDescent="0.3">
      <c r="A1288" s="3"/>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c r="FT1288" s="1"/>
      <c r="FU1288" s="1"/>
      <c r="FV1288" s="1"/>
      <c r="FW1288" s="1"/>
      <c r="FX1288" s="1"/>
      <c r="FY1288" s="1"/>
      <c r="FZ1288" s="1"/>
      <c r="GA1288" s="1"/>
      <c r="GB1288" s="1"/>
      <c r="GC1288" s="1"/>
      <c r="GD1288" s="1"/>
      <c r="GE1288" s="1"/>
      <c r="GF1288" s="1"/>
      <c r="GG1288" s="1"/>
      <c r="GH1288" s="1"/>
      <c r="GI1288" s="1"/>
      <c r="GJ1288" s="1"/>
      <c r="GK1288" s="1"/>
      <c r="GL1288" s="1"/>
      <c r="GM1288" s="1"/>
      <c r="GN1288" s="1"/>
      <c r="GO1288" s="1"/>
      <c r="GP1288" s="1"/>
      <c r="GQ1288" s="1"/>
      <c r="GR1288" s="1"/>
      <c r="GS1288" s="1"/>
      <c r="GT1288" s="1"/>
      <c r="GU1288" s="1"/>
      <c r="GV1288" s="1"/>
      <c r="GW1288" s="1"/>
      <c r="GX1288" s="1"/>
      <c r="GY1288" s="1"/>
      <c r="GZ1288" s="1"/>
      <c r="HA1288" s="1"/>
      <c r="HB1288" s="1"/>
      <c r="HC1288" s="1"/>
      <c r="HD1288" s="1"/>
      <c r="HE1288" s="1"/>
      <c r="HF1288" s="1"/>
      <c r="HG1288" s="1"/>
      <c r="HH1288" s="1"/>
    </row>
    <row r="1289" spans="1:216" x14ac:dyDescent="0.3">
      <c r="A1289" s="3"/>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c r="FT1289" s="1"/>
      <c r="FU1289" s="1"/>
      <c r="FV1289" s="1"/>
      <c r="FW1289" s="1"/>
      <c r="FX1289" s="1"/>
      <c r="FY1289" s="1"/>
      <c r="FZ1289" s="1"/>
      <c r="GA1289" s="1"/>
      <c r="GB1289" s="1"/>
      <c r="GC1289" s="1"/>
      <c r="GD1289" s="1"/>
      <c r="GE1289" s="1"/>
      <c r="GF1289" s="1"/>
      <c r="GG1289" s="1"/>
      <c r="GH1289" s="1"/>
      <c r="GI1289" s="1"/>
      <c r="GJ1289" s="1"/>
      <c r="GK1289" s="1"/>
      <c r="GL1289" s="1"/>
      <c r="GM1289" s="1"/>
      <c r="GN1289" s="1"/>
      <c r="GO1289" s="1"/>
      <c r="GP1289" s="1"/>
      <c r="GQ1289" s="1"/>
      <c r="GR1289" s="1"/>
      <c r="GS1289" s="1"/>
      <c r="GT1289" s="1"/>
      <c r="GU1289" s="1"/>
      <c r="GV1289" s="1"/>
      <c r="GW1289" s="1"/>
      <c r="GX1289" s="1"/>
      <c r="GY1289" s="1"/>
      <c r="GZ1289" s="1"/>
      <c r="HA1289" s="1"/>
      <c r="HB1289" s="1"/>
      <c r="HC1289" s="1"/>
      <c r="HD1289" s="1"/>
      <c r="HE1289" s="1"/>
      <c r="HF1289" s="1"/>
      <c r="HG1289" s="1"/>
      <c r="HH1289" s="1"/>
    </row>
    <row r="1290" spans="1:216" x14ac:dyDescent="0.3">
      <c r="A1290" s="3"/>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1"/>
      <c r="GD1290" s="1"/>
      <c r="GE1290" s="1"/>
      <c r="GF1290" s="1"/>
      <c r="GG1290" s="1"/>
      <c r="GH1290" s="1"/>
      <c r="GI1290" s="1"/>
      <c r="GJ1290" s="1"/>
      <c r="GK1290" s="1"/>
      <c r="GL1290" s="1"/>
      <c r="GM1290" s="1"/>
      <c r="GN1290" s="1"/>
      <c r="GO1290" s="1"/>
      <c r="GP1290" s="1"/>
      <c r="GQ1290" s="1"/>
      <c r="GR1290" s="1"/>
      <c r="GS1290" s="1"/>
      <c r="GT1290" s="1"/>
      <c r="GU1290" s="1"/>
      <c r="GV1290" s="1"/>
      <c r="GW1290" s="1"/>
      <c r="GX1290" s="1"/>
      <c r="GY1290" s="1"/>
      <c r="GZ1290" s="1"/>
      <c r="HA1290" s="1"/>
      <c r="HB1290" s="1"/>
      <c r="HC1290" s="1"/>
      <c r="HD1290" s="1"/>
      <c r="HE1290" s="1"/>
      <c r="HF1290" s="1"/>
      <c r="HG1290" s="1"/>
      <c r="HH1290" s="1"/>
    </row>
    <row r="1291" spans="1:216" x14ac:dyDescent="0.3">
      <c r="A1291" s="3"/>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c r="FT1291" s="1"/>
      <c r="FU1291" s="1"/>
      <c r="FV1291" s="1"/>
      <c r="FW1291" s="1"/>
      <c r="FX1291" s="1"/>
      <c r="FY1291" s="1"/>
      <c r="FZ1291" s="1"/>
      <c r="GA1291" s="1"/>
      <c r="GB1291" s="1"/>
      <c r="GC1291" s="1"/>
      <c r="GD1291" s="1"/>
      <c r="GE1291" s="1"/>
      <c r="GF1291" s="1"/>
      <c r="GG1291" s="1"/>
      <c r="GH1291" s="1"/>
      <c r="GI1291" s="1"/>
      <c r="GJ1291" s="1"/>
      <c r="GK1291" s="1"/>
      <c r="GL1291" s="1"/>
      <c r="GM1291" s="1"/>
      <c r="GN1291" s="1"/>
      <c r="GO1291" s="1"/>
      <c r="GP1291" s="1"/>
      <c r="GQ1291" s="1"/>
      <c r="GR1291" s="1"/>
      <c r="GS1291" s="1"/>
      <c r="GT1291" s="1"/>
      <c r="GU1291" s="1"/>
      <c r="GV1291" s="1"/>
      <c r="GW1291" s="1"/>
      <c r="GX1291" s="1"/>
      <c r="GY1291" s="1"/>
      <c r="GZ1291" s="1"/>
      <c r="HA1291" s="1"/>
      <c r="HB1291" s="1"/>
      <c r="HC1291" s="1"/>
      <c r="HD1291" s="1"/>
      <c r="HE1291" s="1"/>
      <c r="HF1291" s="1"/>
      <c r="HG1291" s="1"/>
      <c r="HH1291" s="1"/>
    </row>
    <row r="1292" spans="1:216" x14ac:dyDescent="0.3">
      <c r="A1292" s="3"/>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c r="FT1292" s="1"/>
      <c r="FU1292" s="1"/>
      <c r="FV1292" s="1"/>
      <c r="FW1292" s="1"/>
      <c r="FX1292" s="1"/>
      <c r="FY1292" s="1"/>
      <c r="FZ1292" s="1"/>
      <c r="GA1292" s="1"/>
      <c r="GB1292" s="1"/>
      <c r="GC1292" s="1"/>
      <c r="GD1292" s="1"/>
      <c r="GE1292" s="1"/>
      <c r="GF1292" s="1"/>
      <c r="GG1292" s="1"/>
      <c r="GH1292" s="1"/>
      <c r="GI1292" s="1"/>
      <c r="GJ1292" s="1"/>
      <c r="GK1292" s="1"/>
      <c r="GL1292" s="1"/>
      <c r="GM1292" s="1"/>
      <c r="GN1292" s="1"/>
      <c r="GO1292" s="1"/>
      <c r="GP1292" s="1"/>
      <c r="GQ1292" s="1"/>
      <c r="GR1292" s="1"/>
      <c r="GS1292" s="1"/>
      <c r="GT1292" s="1"/>
      <c r="GU1292" s="1"/>
      <c r="GV1292" s="1"/>
      <c r="GW1292" s="1"/>
      <c r="GX1292" s="1"/>
      <c r="GY1292" s="1"/>
      <c r="GZ1292" s="1"/>
      <c r="HA1292" s="1"/>
      <c r="HB1292" s="1"/>
      <c r="HC1292" s="1"/>
      <c r="HD1292" s="1"/>
      <c r="HE1292" s="1"/>
      <c r="HF1292" s="1"/>
      <c r="HG1292" s="1"/>
      <c r="HH1292" s="1"/>
    </row>
    <row r="1293" spans="1:216" x14ac:dyDescent="0.3">
      <c r="A1293" s="3"/>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c r="FT1293" s="1"/>
      <c r="FU1293" s="1"/>
      <c r="FV1293" s="1"/>
      <c r="FW1293" s="1"/>
      <c r="FX1293" s="1"/>
      <c r="FY1293" s="1"/>
      <c r="FZ1293" s="1"/>
      <c r="GA1293" s="1"/>
      <c r="GB1293" s="1"/>
      <c r="GC1293" s="1"/>
      <c r="GD1293" s="1"/>
      <c r="GE1293" s="1"/>
      <c r="GF1293" s="1"/>
      <c r="GG1293" s="1"/>
      <c r="GH1293" s="1"/>
      <c r="GI1293" s="1"/>
      <c r="GJ1293" s="1"/>
      <c r="GK1293" s="1"/>
      <c r="GL1293" s="1"/>
      <c r="GM1293" s="1"/>
      <c r="GN1293" s="1"/>
      <c r="GO1293" s="1"/>
      <c r="GP1293" s="1"/>
      <c r="GQ1293" s="1"/>
      <c r="GR1293" s="1"/>
      <c r="GS1293" s="1"/>
      <c r="GT1293" s="1"/>
      <c r="GU1293" s="1"/>
      <c r="GV1293" s="1"/>
      <c r="GW1293" s="1"/>
      <c r="GX1293" s="1"/>
      <c r="GY1293" s="1"/>
      <c r="GZ1293" s="1"/>
      <c r="HA1293" s="1"/>
      <c r="HB1293" s="1"/>
      <c r="HC1293" s="1"/>
      <c r="HD1293" s="1"/>
      <c r="HE1293" s="1"/>
      <c r="HF1293" s="1"/>
      <c r="HG1293" s="1"/>
      <c r="HH1293" s="1"/>
    </row>
    <row r="1294" spans="1:216" x14ac:dyDescent="0.3">
      <c r="A1294" s="3"/>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c r="FT1294" s="1"/>
      <c r="FU1294" s="1"/>
      <c r="FV1294" s="1"/>
      <c r="FW1294" s="1"/>
      <c r="FX1294" s="1"/>
      <c r="FY1294" s="1"/>
      <c r="FZ1294" s="1"/>
      <c r="GA1294" s="1"/>
      <c r="GB1294" s="1"/>
      <c r="GC1294" s="1"/>
      <c r="GD1294" s="1"/>
      <c r="GE1294" s="1"/>
      <c r="GF1294" s="1"/>
      <c r="GG1294" s="1"/>
      <c r="GH1294" s="1"/>
      <c r="GI1294" s="1"/>
      <c r="GJ1294" s="1"/>
      <c r="GK1294" s="1"/>
      <c r="GL1294" s="1"/>
      <c r="GM1294" s="1"/>
      <c r="GN1294" s="1"/>
      <c r="GO1294" s="1"/>
      <c r="GP1294" s="1"/>
      <c r="GQ1294" s="1"/>
      <c r="GR1294" s="1"/>
      <c r="GS1294" s="1"/>
      <c r="GT1294" s="1"/>
      <c r="GU1294" s="1"/>
      <c r="GV1294" s="1"/>
      <c r="GW1294" s="1"/>
      <c r="GX1294" s="1"/>
      <c r="GY1294" s="1"/>
      <c r="GZ1294" s="1"/>
      <c r="HA1294" s="1"/>
      <c r="HB1294" s="1"/>
      <c r="HC1294" s="1"/>
      <c r="HD1294" s="1"/>
      <c r="HE1294" s="1"/>
      <c r="HF1294" s="1"/>
      <c r="HG1294" s="1"/>
      <c r="HH1294" s="1"/>
    </row>
    <row r="1295" spans="1:216" x14ac:dyDescent="0.3">
      <c r="A1295" s="3"/>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c r="FT1295" s="1"/>
      <c r="FU1295" s="1"/>
      <c r="FV1295" s="1"/>
      <c r="FW1295" s="1"/>
      <c r="FX1295" s="1"/>
      <c r="FY1295" s="1"/>
      <c r="FZ1295" s="1"/>
      <c r="GA1295" s="1"/>
      <c r="GB1295" s="1"/>
      <c r="GC1295" s="1"/>
      <c r="GD1295" s="1"/>
      <c r="GE1295" s="1"/>
      <c r="GF1295" s="1"/>
      <c r="GG1295" s="1"/>
      <c r="GH1295" s="1"/>
      <c r="GI1295" s="1"/>
      <c r="GJ1295" s="1"/>
      <c r="GK1295" s="1"/>
      <c r="GL1295" s="1"/>
      <c r="GM1295" s="1"/>
      <c r="GN1295" s="1"/>
      <c r="GO1295" s="1"/>
      <c r="GP1295" s="1"/>
      <c r="GQ1295" s="1"/>
      <c r="GR1295" s="1"/>
      <c r="GS1295" s="1"/>
      <c r="GT1295" s="1"/>
      <c r="GU1295" s="1"/>
      <c r="GV1295" s="1"/>
      <c r="GW1295" s="1"/>
      <c r="GX1295" s="1"/>
      <c r="GY1295" s="1"/>
      <c r="GZ1295" s="1"/>
      <c r="HA1295" s="1"/>
      <c r="HB1295" s="1"/>
      <c r="HC1295" s="1"/>
      <c r="HD1295" s="1"/>
      <c r="HE1295" s="1"/>
      <c r="HF1295" s="1"/>
      <c r="HG1295" s="1"/>
      <c r="HH1295" s="1"/>
    </row>
    <row r="1296" spans="1:216" x14ac:dyDescent="0.3">
      <c r="A1296" s="3"/>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c r="FT1296" s="1"/>
      <c r="FU1296" s="1"/>
      <c r="FV1296" s="1"/>
      <c r="FW1296" s="1"/>
      <c r="FX1296" s="1"/>
      <c r="FY1296" s="1"/>
      <c r="FZ1296" s="1"/>
      <c r="GA1296" s="1"/>
      <c r="GB1296" s="1"/>
      <c r="GC1296" s="1"/>
      <c r="GD1296" s="1"/>
      <c r="GE1296" s="1"/>
      <c r="GF1296" s="1"/>
      <c r="GG1296" s="1"/>
      <c r="GH1296" s="1"/>
      <c r="GI1296" s="1"/>
      <c r="GJ1296" s="1"/>
      <c r="GK1296" s="1"/>
      <c r="GL1296" s="1"/>
      <c r="GM1296" s="1"/>
      <c r="GN1296" s="1"/>
      <c r="GO1296" s="1"/>
      <c r="GP1296" s="1"/>
      <c r="GQ1296" s="1"/>
      <c r="GR1296" s="1"/>
      <c r="GS1296" s="1"/>
      <c r="GT1296" s="1"/>
      <c r="GU1296" s="1"/>
      <c r="GV1296" s="1"/>
      <c r="GW1296" s="1"/>
      <c r="GX1296" s="1"/>
      <c r="GY1296" s="1"/>
      <c r="GZ1296" s="1"/>
      <c r="HA1296" s="1"/>
      <c r="HB1296" s="1"/>
      <c r="HC1296" s="1"/>
      <c r="HD1296" s="1"/>
      <c r="HE1296" s="1"/>
      <c r="HF1296" s="1"/>
      <c r="HG1296" s="1"/>
      <c r="HH1296" s="1"/>
    </row>
    <row r="1297" spans="1:216" x14ac:dyDescent="0.3">
      <c r="A1297" s="3"/>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c r="FT1297" s="1"/>
      <c r="FU1297" s="1"/>
      <c r="FV1297" s="1"/>
      <c r="FW1297" s="1"/>
      <c r="FX1297" s="1"/>
      <c r="FY1297" s="1"/>
      <c r="FZ1297" s="1"/>
      <c r="GA1297" s="1"/>
      <c r="GB1297" s="1"/>
      <c r="GC1297" s="1"/>
      <c r="GD1297" s="1"/>
      <c r="GE1297" s="1"/>
      <c r="GF1297" s="1"/>
      <c r="GG1297" s="1"/>
      <c r="GH1297" s="1"/>
      <c r="GI1297" s="1"/>
      <c r="GJ1297" s="1"/>
      <c r="GK1297" s="1"/>
      <c r="GL1297" s="1"/>
      <c r="GM1297" s="1"/>
      <c r="GN1297" s="1"/>
      <c r="GO1297" s="1"/>
      <c r="GP1297" s="1"/>
      <c r="GQ1297" s="1"/>
      <c r="GR1297" s="1"/>
      <c r="GS1297" s="1"/>
      <c r="GT1297" s="1"/>
      <c r="GU1297" s="1"/>
      <c r="GV1297" s="1"/>
      <c r="GW1297" s="1"/>
      <c r="GX1297" s="1"/>
      <c r="GY1297" s="1"/>
      <c r="GZ1297" s="1"/>
      <c r="HA1297" s="1"/>
      <c r="HB1297" s="1"/>
      <c r="HC1297" s="1"/>
      <c r="HD1297" s="1"/>
      <c r="HE1297" s="1"/>
      <c r="HF1297" s="1"/>
      <c r="HG1297" s="1"/>
      <c r="HH1297" s="1"/>
    </row>
    <row r="1298" spans="1:216" x14ac:dyDescent="0.3">
      <c r="A1298" s="3"/>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c r="FT1298" s="1"/>
      <c r="FU1298" s="1"/>
      <c r="FV1298" s="1"/>
      <c r="FW1298" s="1"/>
      <c r="FX1298" s="1"/>
      <c r="FY1298" s="1"/>
      <c r="FZ1298" s="1"/>
      <c r="GA1298" s="1"/>
      <c r="GB1298" s="1"/>
      <c r="GC1298" s="1"/>
      <c r="GD1298" s="1"/>
      <c r="GE1298" s="1"/>
      <c r="GF1298" s="1"/>
      <c r="GG1298" s="1"/>
      <c r="GH1298" s="1"/>
      <c r="GI1298" s="1"/>
      <c r="GJ1298" s="1"/>
      <c r="GK1298" s="1"/>
      <c r="GL1298" s="1"/>
      <c r="GM1298" s="1"/>
      <c r="GN1298" s="1"/>
      <c r="GO1298" s="1"/>
      <c r="GP1298" s="1"/>
      <c r="GQ1298" s="1"/>
      <c r="GR1298" s="1"/>
      <c r="GS1298" s="1"/>
      <c r="GT1298" s="1"/>
      <c r="GU1298" s="1"/>
      <c r="GV1298" s="1"/>
      <c r="GW1298" s="1"/>
      <c r="GX1298" s="1"/>
      <c r="GY1298" s="1"/>
      <c r="GZ1298" s="1"/>
      <c r="HA1298" s="1"/>
      <c r="HB1298" s="1"/>
      <c r="HC1298" s="1"/>
      <c r="HD1298" s="1"/>
      <c r="HE1298" s="1"/>
      <c r="HF1298" s="1"/>
      <c r="HG1298" s="1"/>
      <c r="HH1298" s="1"/>
    </row>
    <row r="1299" spans="1:216" x14ac:dyDescent="0.3">
      <c r="A1299" s="3"/>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c r="FT1299" s="1"/>
      <c r="FU1299" s="1"/>
      <c r="FV1299" s="1"/>
      <c r="FW1299" s="1"/>
      <c r="FX1299" s="1"/>
      <c r="FY1299" s="1"/>
      <c r="FZ1299" s="1"/>
      <c r="GA1299" s="1"/>
      <c r="GB1299" s="1"/>
      <c r="GC1299" s="1"/>
      <c r="GD1299" s="1"/>
      <c r="GE1299" s="1"/>
      <c r="GF1299" s="1"/>
      <c r="GG1299" s="1"/>
      <c r="GH1299" s="1"/>
      <c r="GI1299" s="1"/>
      <c r="GJ1299" s="1"/>
      <c r="GK1299" s="1"/>
      <c r="GL1299" s="1"/>
      <c r="GM1299" s="1"/>
      <c r="GN1299" s="1"/>
      <c r="GO1299" s="1"/>
      <c r="GP1299" s="1"/>
      <c r="GQ1299" s="1"/>
      <c r="GR1299" s="1"/>
      <c r="GS1299" s="1"/>
      <c r="GT1299" s="1"/>
      <c r="GU1299" s="1"/>
      <c r="GV1299" s="1"/>
      <c r="GW1299" s="1"/>
      <c r="GX1299" s="1"/>
      <c r="GY1299" s="1"/>
      <c r="GZ1299" s="1"/>
      <c r="HA1299" s="1"/>
      <c r="HB1299" s="1"/>
      <c r="HC1299" s="1"/>
      <c r="HD1299" s="1"/>
      <c r="HE1299" s="1"/>
      <c r="HF1299" s="1"/>
      <c r="HG1299" s="1"/>
      <c r="HH1299" s="1"/>
    </row>
    <row r="1300" spans="1:216" x14ac:dyDescent="0.3">
      <c r="A1300" s="3"/>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c r="FT1300" s="1"/>
      <c r="FU1300" s="1"/>
      <c r="FV1300" s="1"/>
      <c r="FW1300" s="1"/>
      <c r="FX1300" s="1"/>
      <c r="FY1300" s="1"/>
      <c r="FZ1300" s="1"/>
      <c r="GA1300" s="1"/>
      <c r="GB1300" s="1"/>
      <c r="GC1300" s="1"/>
      <c r="GD1300" s="1"/>
      <c r="GE1300" s="1"/>
      <c r="GF1300" s="1"/>
      <c r="GG1300" s="1"/>
      <c r="GH1300" s="1"/>
      <c r="GI1300" s="1"/>
      <c r="GJ1300" s="1"/>
      <c r="GK1300" s="1"/>
      <c r="GL1300" s="1"/>
      <c r="GM1300" s="1"/>
      <c r="GN1300" s="1"/>
      <c r="GO1300" s="1"/>
      <c r="GP1300" s="1"/>
      <c r="GQ1300" s="1"/>
      <c r="GR1300" s="1"/>
      <c r="GS1300" s="1"/>
      <c r="GT1300" s="1"/>
      <c r="GU1300" s="1"/>
      <c r="GV1300" s="1"/>
      <c r="GW1300" s="1"/>
      <c r="GX1300" s="1"/>
      <c r="GY1300" s="1"/>
      <c r="GZ1300" s="1"/>
      <c r="HA1300" s="1"/>
      <c r="HB1300" s="1"/>
      <c r="HC1300" s="1"/>
      <c r="HD1300" s="1"/>
      <c r="HE1300" s="1"/>
      <c r="HF1300" s="1"/>
      <c r="HG1300" s="1"/>
      <c r="HH1300" s="1"/>
    </row>
    <row r="1301" spans="1:216" x14ac:dyDescent="0.3">
      <c r="A1301" s="3"/>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c r="FT1301" s="1"/>
      <c r="FU1301" s="1"/>
      <c r="FV1301" s="1"/>
      <c r="FW1301" s="1"/>
      <c r="FX1301" s="1"/>
      <c r="FY1301" s="1"/>
      <c r="FZ1301" s="1"/>
      <c r="GA1301" s="1"/>
      <c r="GB1301" s="1"/>
      <c r="GC1301" s="1"/>
      <c r="GD1301" s="1"/>
      <c r="GE1301" s="1"/>
      <c r="GF1301" s="1"/>
      <c r="GG1301" s="1"/>
      <c r="GH1301" s="1"/>
      <c r="GI1301" s="1"/>
      <c r="GJ1301" s="1"/>
      <c r="GK1301" s="1"/>
      <c r="GL1301" s="1"/>
      <c r="GM1301" s="1"/>
      <c r="GN1301" s="1"/>
      <c r="GO1301" s="1"/>
      <c r="GP1301" s="1"/>
      <c r="GQ1301" s="1"/>
      <c r="GR1301" s="1"/>
      <c r="GS1301" s="1"/>
      <c r="GT1301" s="1"/>
      <c r="GU1301" s="1"/>
      <c r="GV1301" s="1"/>
      <c r="GW1301" s="1"/>
      <c r="GX1301" s="1"/>
      <c r="GY1301" s="1"/>
      <c r="GZ1301" s="1"/>
      <c r="HA1301" s="1"/>
      <c r="HB1301" s="1"/>
      <c r="HC1301" s="1"/>
      <c r="HD1301" s="1"/>
      <c r="HE1301" s="1"/>
      <c r="HF1301" s="1"/>
      <c r="HG1301" s="1"/>
      <c r="HH1301" s="1"/>
    </row>
    <row r="1302" spans="1:216" x14ac:dyDescent="0.3">
      <c r="A1302" s="3"/>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c r="FT1302" s="1"/>
      <c r="FU1302" s="1"/>
      <c r="FV1302" s="1"/>
      <c r="FW1302" s="1"/>
      <c r="FX1302" s="1"/>
      <c r="FY1302" s="1"/>
      <c r="FZ1302" s="1"/>
      <c r="GA1302" s="1"/>
      <c r="GB1302" s="1"/>
      <c r="GC1302" s="1"/>
      <c r="GD1302" s="1"/>
      <c r="GE1302" s="1"/>
      <c r="GF1302" s="1"/>
      <c r="GG1302" s="1"/>
      <c r="GH1302" s="1"/>
      <c r="GI1302" s="1"/>
      <c r="GJ1302" s="1"/>
      <c r="GK1302" s="1"/>
      <c r="GL1302" s="1"/>
      <c r="GM1302" s="1"/>
      <c r="GN1302" s="1"/>
      <c r="GO1302" s="1"/>
      <c r="GP1302" s="1"/>
      <c r="GQ1302" s="1"/>
      <c r="GR1302" s="1"/>
      <c r="GS1302" s="1"/>
      <c r="GT1302" s="1"/>
      <c r="GU1302" s="1"/>
      <c r="GV1302" s="1"/>
      <c r="GW1302" s="1"/>
      <c r="GX1302" s="1"/>
      <c r="GY1302" s="1"/>
      <c r="GZ1302" s="1"/>
      <c r="HA1302" s="1"/>
      <c r="HB1302" s="1"/>
      <c r="HC1302" s="1"/>
      <c r="HD1302" s="1"/>
      <c r="HE1302" s="1"/>
      <c r="HF1302" s="1"/>
      <c r="HG1302" s="1"/>
      <c r="HH1302" s="1"/>
    </row>
    <row r="1303" spans="1:216" x14ac:dyDescent="0.3">
      <c r="A1303" s="3"/>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c r="FT1303" s="1"/>
      <c r="FU1303" s="1"/>
      <c r="FV1303" s="1"/>
      <c r="FW1303" s="1"/>
      <c r="FX1303" s="1"/>
      <c r="FY1303" s="1"/>
      <c r="FZ1303" s="1"/>
      <c r="GA1303" s="1"/>
      <c r="GB1303" s="1"/>
      <c r="GC1303" s="1"/>
      <c r="GD1303" s="1"/>
      <c r="GE1303" s="1"/>
      <c r="GF1303" s="1"/>
      <c r="GG1303" s="1"/>
      <c r="GH1303" s="1"/>
      <c r="GI1303" s="1"/>
      <c r="GJ1303" s="1"/>
      <c r="GK1303" s="1"/>
      <c r="GL1303" s="1"/>
      <c r="GM1303" s="1"/>
      <c r="GN1303" s="1"/>
      <c r="GO1303" s="1"/>
      <c r="GP1303" s="1"/>
      <c r="GQ1303" s="1"/>
      <c r="GR1303" s="1"/>
      <c r="GS1303" s="1"/>
      <c r="GT1303" s="1"/>
      <c r="GU1303" s="1"/>
      <c r="GV1303" s="1"/>
      <c r="GW1303" s="1"/>
      <c r="GX1303" s="1"/>
      <c r="GY1303" s="1"/>
      <c r="GZ1303" s="1"/>
      <c r="HA1303" s="1"/>
      <c r="HB1303" s="1"/>
      <c r="HC1303" s="1"/>
      <c r="HD1303" s="1"/>
      <c r="HE1303" s="1"/>
      <c r="HF1303" s="1"/>
      <c r="HG1303" s="1"/>
      <c r="HH1303" s="1"/>
    </row>
    <row r="1304" spans="1:216" x14ac:dyDescent="0.3">
      <c r="A1304" s="3"/>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1"/>
      <c r="GD1304" s="1"/>
      <c r="GE1304" s="1"/>
      <c r="GF1304" s="1"/>
      <c r="GG1304" s="1"/>
      <c r="GH1304" s="1"/>
      <c r="GI1304" s="1"/>
      <c r="GJ1304" s="1"/>
      <c r="GK1304" s="1"/>
      <c r="GL1304" s="1"/>
      <c r="GM1304" s="1"/>
      <c r="GN1304" s="1"/>
      <c r="GO1304" s="1"/>
      <c r="GP1304" s="1"/>
      <c r="GQ1304" s="1"/>
      <c r="GR1304" s="1"/>
      <c r="GS1304" s="1"/>
      <c r="GT1304" s="1"/>
      <c r="GU1304" s="1"/>
      <c r="GV1304" s="1"/>
      <c r="GW1304" s="1"/>
      <c r="GX1304" s="1"/>
      <c r="GY1304" s="1"/>
      <c r="GZ1304" s="1"/>
      <c r="HA1304" s="1"/>
      <c r="HB1304" s="1"/>
      <c r="HC1304" s="1"/>
      <c r="HD1304" s="1"/>
      <c r="HE1304" s="1"/>
      <c r="HF1304" s="1"/>
      <c r="HG1304" s="1"/>
      <c r="HH1304" s="1"/>
    </row>
    <row r="1305" spans="1:216" x14ac:dyDescent="0.3">
      <c r="A1305" s="3"/>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1"/>
      <c r="GD1305" s="1"/>
      <c r="GE1305" s="1"/>
      <c r="GF1305" s="1"/>
      <c r="GG1305" s="1"/>
      <c r="GH1305" s="1"/>
      <c r="GI1305" s="1"/>
      <c r="GJ1305" s="1"/>
      <c r="GK1305" s="1"/>
      <c r="GL1305" s="1"/>
      <c r="GM1305" s="1"/>
      <c r="GN1305" s="1"/>
      <c r="GO1305" s="1"/>
      <c r="GP1305" s="1"/>
      <c r="GQ1305" s="1"/>
      <c r="GR1305" s="1"/>
      <c r="GS1305" s="1"/>
      <c r="GT1305" s="1"/>
      <c r="GU1305" s="1"/>
      <c r="GV1305" s="1"/>
      <c r="GW1305" s="1"/>
      <c r="GX1305" s="1"/>
      <c r="GY1305" s="1"/>
      <c r="GZ1305" s="1"/>
      <c r="HA1305" s="1"/>
      <c r="HB1305" s="1"/>
      <c r="HC1305" s="1"/>
      <c r="HD1305" s="1"/>
      <c r="HE1305" s="1"/>
      <c r="HF1305" s="1"/>
      <c r="HG1305" s="1"/>
      <c r="HH1305" s="1"/>
    </row>
    <row r="1306" spans="1:216" x14ac:dyDescent="0.3">
      <c r="A1306" s="3"/>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c r="FT1306" s="1"/>
      <c r="FU1306" s="1"/>
      <c r="FV1306" s="1"/>
      <c r="FW1306" s="1"/>
      <c r="FX1306" s="1"/>
      <c r="FY1306" s="1"/>
      <c r="FZ1306" s="1"/>
      <c r="GA1306" s="1"/>
      <c r="GB1306" s="1"/>
      <c r="GC1306" s="1"/>
      <c r="GD1306" s="1"/>
      <c r="GE1306" s="1"/>
      <c r="GF1306" s="1"/>
      <c r="GG1306" s="1"/>
      <c r="GH1306" s="1"/>
      <c r="GI1306" s="1"/>
      <c r="GJ1306" s="1"/>
      <c r="GK1306" s="1"/>
      <c r="GL1306" s="1"/>
      <c r="GM1306" s="1"/>
      <c r="GN1306" s="1"/>
      <c r="GO1306" s="1"/>
      <c r="GP1306" s="1"/>
      <c r="GQ1306" s="1"/>
      <c r="GR1306" s="1"/>
      <c r="GS1306" s="1"/>
      <c r="GT1306" s="1"/>
      <c r="GU1306" s="1"/>
      <c r="GV1306" s="1"/>
      <c r="GW1306" s="1"/>
      <c r="GX1306" s="1"/>
      <c r="GY1306" s="1"/>
      <c r="GZ1306" s="1"/>
      <c r="HA1306" s="1"/>
      <c r="HB1306" s="1"/>
      <c r="HC1306" s="1"/>
      <c r="HD1306" s="1"/>
      <c r="HE1306" s="1"/>
      <c r="HF1306" s="1"/>
      <c r="HG1306" s="1"/>
      <c r="HH1306" s="1"/>
    </row>
    <row r="1307" spans="1:216" x14ac:dyDescent="0.3">
      <c r="A1307" s="3"/>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c r="FT1307" s="1"/>
      <c r="FU1307" s="1"/>
      <c r="FV1307" s="1"/>
      <c r="FW1307" s="1"/>
      <c r="FX1307" s="1"/>
      <c r="FY1307" s="1"/>
      <c r="FZ1307" s="1"/>
      <c r="GA1307" s="1"/>
      <c r="GB1307" s="1"/>
      <c r="GC1307" s="1"/>
      <c r="GD1307" s="1"/>
      <c r="GE1307" s="1"/>
      <c r="GF1307" s="1"/>
      <c r="GG1307" s="1"/>
      <c r="GH1307" s="1"/>
      <c r="GI1307" s="1"/>
      <c r="GJ1307" s="1"/>
      <c r="GK1307" s="1"/>
      <c r="GL1307" s="1"/>
      <c r="GM1307" s="1"/>
      <c r="GN1307" s="1"/>
      <c r="GO1307" s="1"/>
      <c r="GP1307" s="1"/>
      <c r="GQ1307" s="1"/>
      <c r="GR1307" s="1"/>
      <c r="GS1307" s="1"/>
      <c r="GT1307" s="1"/>
      <c r="GU1307" s="1"/>
      <c r="GV1307" s="1"/>
      <c r="GW1307" s="1"/>
      <c r="GX1307" s="1"/>
      <c r="GY1307" s="1"/>
      <c r="GZ1307" s="1"/>
      <c r="HA1307" s="1"/>
      <c r="HB1307" s="1"/>
      <c r="HC1307" s="1"/>
      <c r="HD1307" s="1"/>
      <c r="HE1307" s="1"/>
      <c r="HF1307" s="1"/>
      <c r="HG1307" s="1"/>
      <c r="HH1307" s="1"/>
    </row>
    <row r="1308" spans="1:216" x14ac:dyDescent="0.3">
      <c r="A1308" s="3"/>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c r="FT1308" s="1"/>
      <c r="FU1308" s="1"/>
      <c r="FV1308" s="1"/>
      <c r="FW1308" s="1"/>
      <c r="FX1308" s="1"/>
      <c r="FY1308" s="1"/>
      <c r="FZ1308" s="1"/>
      <c r="GA1308" s="1"/>
      <c r="GB1308" s="1"/>
      <c r="GC1308" s="1"/>
      <c r="GD1308" s="1"/>
      <c r="GE1308" s="1"/>
      <c r="GF1308" s="1"/>
      <c r="GG1308" s="1"/>
      <c r="GH1308" s="1"/>
      <c r="GI1308" s="1"/>
      <c r="GJ1308" s="1"/>
      <c r="GK1308" s="1"/>
      <c r="GL1308" s="1"/>
      <c r="GM1308" s="1"/>
      <c r="GN1308" s="1"/>
      <c r="GO1308" s="1"/>
      <c r="GP1308" s="1"/>
      <c r="GQ1308" s="1"/>
      <c r="GR1308" s="1"/>
      <c r="GS1308" s="1"/>
      <c r="GT1308" s="1"/>
      <c r="GU1308" s="1"/>
      <c r="GV1308" s="1"/>
      <c r="GW1308" s="1"/>
      <c r="GX1308" s="1"/>
      <c r="GY1308" s="1"/>
      <c r="GZ1308" s="1"/>
      <c r="HA1308" s="1"/>
      <c r="HB1308" s="1"/>
      <c r="HC1308" s="1"/>
      <c r="HD1308" s="1"/>
      <c r="HE1308" s="1"/>
      <c r="HF1308" s="1"/>
      <c r="HG1308" s="1"/>
      <c r="HH1308" s="1"/>
    </row>
    <row r="1309" spans="1:216" x14ac:dyDescent="0.3">
      <c r="A1309" s="3"/>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c r="FT1309" s="1"/>
      <c r="FU1309" s="1"/>
      <c r="FV1309" s="1"/>
      <c r="FW1309" s="1"/>
      <c r="FX1309" s="1"/>
      <c r="FY1309" s="1"/>
      <c r="FZ1309" s="1"/>
      <c r="GA1309" s="1"/>
      <c r="GB1309" s="1"/>
      <c r="GC1309" s="1"/>
      <c r="GD1309" s="1"/>
      <c r="GE1309" s="1"/>
      <c r="GF1309" s="1"/>
      <c r="GG1309" s="1"/>
      <c r="GH1309" s="1"/>
      <c r="GI1309" s="1"/>
      <c r="GJ1309" s="1"/>
      <c r="GK1309" s="1"/>
      <c r="GL1309" s="1"/>
      <c r="GM1309" s="1"/>
      <c r="GN1309" s="1"/>
      <c r="GO1309" s="1"/>
      <c r="GP1309" s="1"/>
      <c r="GQ1309" s="1"/>
      <c r="GR1309" s="1"/>
      <c r="GS1309" s="1"/>
      <c r="GT1309" s="1"/>
      <c r="GU1309" s="1"/>
      <c r="GV1309" s="1"/>
      <c r="GW1309" s="1"/>
      <c r="GX1309" s="1"/>
      <c r="GY1309" s="1"/>
      <c r="GZ1309" s="1"/>
      <c r="HA1309" s="1"/>
      <c r="HB1309" s="1"/>
      <c r="HC1309" s="1"/>
      <c r="HD1309" s="1"/>
      <c r="HE1309" s="1"/>
      <c r="HF1309" s="1"/>
      <c r="HG1309" s="1"/>
      <c r="HH1309" s="1"/>
    </row>
    <row r="1310" spans="1:216" x14ac:dyDescent="0.3">
      <c r="A1310" s="3"/>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c r="FT1310" s="1"/>
      <c r="FU1310" s="1"/>
      <c r="FV1310" s="1"/>
      <c r="FW1310" s="1"/>
      <c r="FX1310" s="1"/>
      <c r="FY1310" s="1"/>
      <c r="FZ1310" s="1"/>
      <c r="GA1310" s="1"/>
      <c r="GB1310" s="1"/>
      <c r="GC1310" s="1"/>
      <c r="GD1310" s="1"/>
      <c r="GE1310" s="1"/>
      <c r="GF1310" s="1"/>
      <c r="GG1310" s="1"/>
      <c r="GH1310" s="1"/>
      <c r="GI1310" s="1"/>
      <c r="GJ1310" s="1"/>
      <c r="GK1310" s="1"/>
      <c r="GL1310" s="1"/>
      <c r="GM1310" s="1"/>
      <c r="GN1310" s="1"/>
      <c r="GO1310" s="1"/>
      <c r="GP1310" s="1"/>
      <c r="GQ1310" s="1"/>
      <c r="GR1310" s="1"/>
      <c r="GS1310" s="1"/>
      <c r="GT1310" s="1"/>
      <c r="GU1310" s="1"/>
      <c r="GV1310" s="1"/>
      <c r="GW1310" s="1"/>
      <c r="GX1310" s="1"/>
      <c r="GY1310" s="1"/>
      <c r="GZ1310" s="1"/>
      <c r="HA1310" s="1"/>
      <c r="HB1310" s="1"/>
      <c r="HC1310" s="1"/>
      <c r="HD1310" s="1"/>
      <c r="HE1310" s="1"/>
      <c r="HF1310" s="1"/>
      <c r="HG1310" s="1"/>
      <c r="HH1310" s="1"/>
    </row>
    <row r="1311" spans="1:216" x14ac:dyDescent="0.3">
      <c r="A1311" s="3"/>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c r="FT1311" s="1"/>
      <c r="FU1311" s="1"/>
      <c r="FV1311" s="1"/>
      <c r="FW1311" s="1"/>
      <c r="FX1311" s="1"/>
      <c r="FY1311" s="1"/>
      <c r="FZ1311" s="1"/>
      <c r="GA1311" s="1"/>
      <c r="GB1311" s="1"/>
      <c r="GC1311" s="1"/>
      <c r="GD1311" s="1"/>
      <c r="GE1311" s="1"/>
      <c r="GF1311" s="1"/>
      <c r="GG1311" s="1"/>
      <c r="GH1311" s="1"/>
      <c r="GI1311" s="1"/>
      <c r="GJ1311" s="1"/>
      <c r="GK1311" s="1"/>
      <c r="GL1311" s="1"/>
      <c r="GM1311" s="1"/>
      <c r="GN1311" s="1"/>
      <c r="GO1311" s="1"/>
      <c r="GP1311" s="1"/>
      <c r="GQ1311" s="1"/>
      <c r="GR1311" s="1"/>
      <c r="GS1311" s="1"/>
      <c r="GT1311" s="1"/>
      <c r="GU1311" s="1"/>
      <c r="GV1311" s="1"/>
      <c r="GW1311" s="1"/>
      <c r="GX1311" s="1"/>
      <c r="GY1311" s="1"/>
      <c r="GZ1311" s="1"/>
      <c r="HA1311" s="1"/>
      <c r="HB1311" s="1"/>
      <c r="HC1311" s="1"/>
      <c r="HD1311" s="1"/>
      <c r="HE1311" s="1"/>
      <c r="HF1311" s="1"/>
      <c r="HG1311" s="1"/>
      <c r="HH1311" s="1"/>
    </row>
    <row r="1312" spans="1:216" x14ac:dyDescent="0.3">
      <c r="A1312" s="3"/>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c r="FT1312" s="1"/>
      <c r="FU1312" s="1"/>
      <c r="FV1312" s="1"/>
      <c r="FW1312" s="1"/>
      <c r="FX1312" s="1"/>
      <c r="FY1312" s="1"/>
      <c r="FZ1312" s="1"/>
      <c r="GA1312" s="1"/>
      <c r="GB1312" s="1"/>
      <c r="GC1312" s="1"/>
      <c r="GD1312" s="1"/>
      <c r="GE1312" s="1"/>
      <c r="GF1312" s="1"/>
      <c r="GG1312" s="1"/>
      <c r="GH1312" s="1"/>
      <c r="GI1312" s="1"/>
      <c r="GJ1312" s="1"/>
      <c r="GK1312" s="1"/>
      <c r="GL1312" s="1"/>
      <c r="GM1312" s="1"/>
      <c r="GN1312" s="1"/>
      <c r="GO1312" s="1"/>
      <c r="GP1312" s="1"/>
      <c r="GQ1312" s="1"/>
      <c r="GR1312" s="1"/>
      <c r="GS1312" s="1"/>
      <c r="GT1312" s="1"/>
      <c r="GU1312" s="1"/>
      <c r="GV1312" s="1"/>
      <c r="GW1312" s="1"/>
      <c r="GX1312" s="1"/>
      <c r="GY1312" s="1"/>
      <c r="GZ1312" s="1"/>
      <c r="HA1312" s="1"/>
      <c r="HB1312" s="1"/>
      <c r="HC1312" s="1"/>
      <c r="HD1312" s="1"/>
      <c r="HE1312" s="1"/>
      <c r="HF1312" s="1"/>
      <c r="HG1312" s="1"/>
      <c r="HH1312" s="1"/>
    </row>
    <row r="1313" spans="1:216" x14ac:dyDescent="0.3">
      <c r="A1313" s="3"/>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c r="FT1313" s="1"/>
      <c r="FU1313" s="1"/>
      <c r="FV1313" s="1"/>
      <c r="FW1313" s="1"/>
      <c r="FX1313" s="1"/>
      <c r="FY1313" s="1"/>
      <c r="FZ1313" s="1"/>
      <c r="GA1313" s="1"/>
      <c r="GB1313" s="1"/>
      <c r="GC1313" s="1"/>
      <c r="GD1313" s="1"/>
      <c r="GE1313" s="1"/>
      <c r="GF1313" s="1"/>
      <c r="GG1313" s="1"/>
      <c r="GH1313" s="1"/>
      <c r="GI1313" s="1"/>
      <c r="GJ1313" s="1"/>
      <c r="GK1313" s="1"/>
      <c r="GL1313" s="1"/>
      <c r="GM1313" s="1"/>
      <c r="GN1313" s="1"/>
      <c r="GO1313" s="1"/>
      <c r="GP1313" s="1"/>
      <c r="GQ1313" s="1"/>
      <c r="GR1313" s="1"/>
      <c r="GS1313" s="1"/>
      <c r="GT1313" s="1"/>
      <c r="GU1313" s="1"/>
      <c r="GV1313" s="1"/>
      <c r="GW1313" s="1"/>
      <c r="GX1313" s="1"/>
      <c r="GY1313" s="1"/>
      <c r="GZ1313" s="1"/>
      <c r="HA1313" s="1"/>
      <c r="HB1313" s="1"/>
      <c r="HC1313" s="1"/>
      <c r="HD1313" s="1"/>
      <c r="HE1313" s="1"/>
      <c r="HF1313" s="1"/>
      <c r="HG1313" s="1"/>
      <c r="HH1313" s="1"/>
    </row>
    <row r="1314" spans="1:216" x14ac:dyDescent="0.3">
      <c r="A1314" s="3"/>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c r="FT1314" s="1"/>
      <c r="FU1314" s="1"/>
      <c r="FV1314" s="1"/>
      <c r="FW1314" s="1"/>
      <c r="FX1314" s="1"/>
      <c r="FY1314" s="1"/>
      <c r="FZ1314" s="1"/>
      <c r="GA1314" s="1"/>
      <c r="GB1314" s="1"/>
      <c r="GC1314" s="1"/>
      <c r="GD1314" s="1"/>
      <c r="GE1314" s="1"/>
      <c r="GF1314" s="1"/>
      <c r="GG1314" s="1"/>
      <c r="GH1314" s="1"/>
      <c r="GI1314" s="1"/>
      <c r="GJ1314" s="1"/>
      <c r="GK1314" s="1"/>
      <c r="GL1314" s="1"/>
      <c r="GM1314" s="1"/>
      <c r="GN1314" s="1"/>
      <c r="GO1314" s="1"/>
      <c r="GP1314" s="1"/>
      <c r="GQ1314" s="1"/>
      <c r="GR1314" s="1"/>
      <c r="GS1314" s="1"/>
      <c r="GT1314" s="1"/>
      <c r="GU1314" s="1"/>
      <c r="GV1314" s="1"/>
      <c r="GW1314" s="1"/>
      <c r="GX1314" s="1"/>
      <c r="GY1314" s="1"/>
      <c r="GZ1314" s="1"/>
      <c r="HA1314" s="1"/>
      <c r="HB1314" s="1"/>
      <c r="HC1314" s="1"/>
      <c r="HD1314" s="1"/>
      <c r="HE1314" s="1"/>
      <c r="HF1314" s="1"/>
      <c r="HG1314" s="1"/>
      <c r="HH1314" s="1"/>
    </row>
    <row r="1315" spans="1:216" x14ac:dyDescent="0.3">
      <c r="A1315" s="3"/>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c r="FT1315" s="1"/>
      <c r="FU1315" s="1"/>
      <c r="FV1315" s="1"/>
      <c r="FW1315" s="1"/>
      <c r="FX1315" s="1"/>
      <c r="FY1315" s="1"/>
      <c r="FZ1315" s="1"/>
      <c r="GA1315" s="1"/>
      <c r="GB1315" s="1"/>
      <c r="GC1315" s="1"/>
      <c r="GD1315" s="1"/>
      <c r="GE1315" s="1"/>
      <c r="GF1315" s="1"/>
      <c r="GG1315" s="1"/>
      <c r="GH1315" s="1"/>
      <c r="GI1315" s="1"/>
      <c r="GJ1315" s="1"/>
      <c r="GK1315" s="1"/>
      <c r="GL1315" s="1"/>
      <c r="GM1315" s="1"/>
      <c r="GN1315" s="1"/>
      <c r="GO1315" s="1"/>
      <c r="GP1315" s="1"/>
      <c r="GQ1315" s="1"/>
      <c r="GR1315" s="1"/>
      <c r="GS1315" s="1"/>
      <c r="GT1315" s="1"/>
      <c r="GU1315" s="1"/>
      <c r="GV1315" s="1"/>
      <c r="GW1315" s="1"/>
      <c r="GX1315" s="1"/>
      <c r="GY1315" s="1"/>
      <c r="GZ1315" s="1"/>
      <c r="HA1315" s="1"/>
      <c r="HB1315" s="1"/>
      <c r="HC1315" s="1"/>
      <c r="HD1315" s="1"/>
      <c r="HE1315" s="1"/>
      <c r="HF1315" s="1"/>
      <c r="HG1315" s="1"/>
      <c r="HH1315" s="1"/>
    </row>
    <row r="1316" spans="1:216" x14ac:dyDescent="0.3">
      <c r="A1316" s="3"/>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c r="FT1316" s="1"/>
      <c r="FU1316" s="1"/>
      <c r="FV1316" s="1"/>
      <c r="FW1316" s="1"/>
      <c r="FX1316" s="1"/>
      <c r="FY1316" s="1"/>
      <c r="FZ1316" s="1"/>
      <c r="GA1316" s="1"/>
      <c r="GB1316" s="1"/>
      <c r="GC1316" s="1"/>
      <c r="GD1316" s="1"/>
      <c r="GE1316" s="1"/>
      <c r="GF1316" s="1"/>
      <c r="GG1316" s="1"/>
      <c r="GH1316" s="1"/>
      <c r="GI1316" s="1"/>
      <c r="GJ1316" s="1"/>
      <c r="GK1316" s="1"/>
      <c r="GL1316" s="1"/>
      <c r="GM1316" s="1"/>
      <c r="GN1316" s="1"/>
      <c r="GO1316" s="1"/>
      <c r="GP1316" s="1"/>
      <c r="GQ1316" s="1"/>
      <c r="GR1316" s="1"/>
      <c r="GS1316" s="1"/>
      <c r="GT1316" s="1"/>
      <c r="GU1316" s="1"/>
      <c r="GV1316" s="1"/>
      <c r="GW1316" s="1"/>
      <c r="GX1316" s="1"/>
      <c r="GY1316" s="1"/>
      <c r="GZ1316" s="1"/>
      <c r="HA1316" s="1"/>
      <c r="HB1316" s="1"/>
      <c r="HC1316" s="1"/>
      <c r="HD1316" s="1"/>
      <c r="HE1316" s="1"/>
      <c r="HF1316" s="1"/>
      <c r="HG1316" s="1"/>
      <c r="HH1316" s="1"/>
    </row>
    <row r="1317" spans="1:216" x14ac:dyDescent="0.3">
      <c r="A1317" s="3"/>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c r="FT1317" s="1"/>
      <c r="FU1317" s="1"/>
      <c r="FV1317" s="1"/>
      <c r="FW1317" s="1"/>
      <c r="FX1317" s="1"/>
      <c r="FY1317" s="1"/>
      <c r="FZ1317" s="1"/>
      <c r="GA1317" s="1"/>
      <c r="GB1317" s="1"/>
      <c r="GC1317" s="1"/>
      <c r="GD1317" s="1"/>
      <c r="GE1317" s="1"/>
      <c r="GF1317" s="1"/>
      <c r="GG1317" s="1"/>
      <c r="GH1317" s="1"/>
      <c r="GI1317" s="1"/>
      <c r="GJ1317" s="1"/>
      <c r="GK1317" s="1"/>
      <c r="GL1317" s="1"/>
      <c r="GM1317" s="1"/>
      <c r="GN1317" s="1"/>
      <c r="GO1317" s="1"/>
      <c r="GP1317" s="1"/>
      <c r="GQ1317" s="1"/>
      <c r="GR1317" s="1"/>
      <c r="GS1317" s="1"/>
      <c r="GT1317" s="1"/>
      <c r="GU1317" s="1"/>
      <c r="GV1317" s="1"/>
      <c r="GW1317" s="1"/>
      <c r="GX1317" s="1"/>
      <c r="GY1317" s="1"/>
      <c r="GZ1317" s="1"/>
      <c r="HA1317" s="1"/>
      <c r="HB1317" s="1"/>
      <c r="HC1317" s="1"/>
      <c r="HD1317" s="1"/>
      <c r="HE1317" s="1"/>
      <c r="HF1317" s="1"/>
      <c r="HG1317" s="1"/>
      <c r="HH1317" s="1"/>
    </row>
    <row r="1318" spans="1:216" x14ac:dyDescent="0.3">
      <c r="A1318" s="3"/>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c r="FT1318" s="1"/>
      <c r="FU1318" s="1"/>
      <c r="FV1318" s="1"/>
      <c r="FW1318" s="1"/>
      <c r="FX1318" s="1"/>
      <c r="FY1318" s="1"/>
      <c r="FZ1318" s="1"/>
      <c r="GA1318" s="1"/>
      <c r="GB1318" s="1"/>
      <c r="GC1318" s="1"/>
      <c r="GD1318" s="1"/>
      <c r="GE1318" s="1"/>
      <c r="GF1318" s="1"/>
      <c r="GG1318" s="1"/>
      <c r="GH1318" s="1"/>
      <c r="GI1318" s="1"/>
      <c r="GJ1318" s="1"/>
      <c r="GK1318" s="1"/>
      <c r="GL1318" s="1"/>
      <c r="GM1318" s="1"/>
      <c r="GN1318" s="1"/>
      <c r="GO1318" s="1"/>
      <c r="GP1318" s="1"/>
      <c r="GQ1318" s="1"/>
      <c r="GR1318" s="1"/>
      <c r="GS1318" s="1"/>
      <c r="GT1318" s="1"/>
      <c r="GU1318" s="1"/>
      <c r="GV1318" s="1"/>
      <c r="GW1318" s="1"/>
      <c r="GX1318" s="1"/>
      <c r="GY1318" s="1"/>
      <c r="GZ1318" s="1"/>
      <c r="HA1318" s="1"/>
      <c r="HB1318" s="1"/>
      <c r="HC1318" s="1"/>
      <c r="HD1318" s="1"/>
      <c r="HE1318" s="1"/>
      <c r="HF1318" s="1"/>
      <c r="HG1318" s="1"/>
      <c r="HH1318" s="1"/>
    </row>
    <row r="1319" spans="1:216" x14ac:dyDescent="0.3">
      <c r="A1319" s="3"/>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c r="FT1319" s="1"/>
      <c r="FU1319" s="1"/>
      <c r="FV1319" s="1"/>
      <c r="FW1319" s="1"/>
      <c r="FX1319" s="1"/>
      <c r="FY1319" s="1"/>
      <c r="FZ1319" s="1"/>
      <c r="GA1319" s="1"/>
      <c r="GB1319" s="1"/>
      <c r="GC1319" s="1"/>
      <c r="GD1319" s="1"/>
      <c r="GE1319" s="1"/>
      <c r="GF1319" s="1"/>
      <c r="GG1319" s="1"/>
      <c r="GH1319" s="1"/>
      <c r="GI1319" s="1"/>
      <c r="GJ1319" s="1"/>
      <c r="GK1319" s="1"/>
      <c r="GL1319" s="1"/>
      <c r="GM1319" s="1"/>
      <c r="GN1319" s="1"/>
      <c r="GO1319" s="1"/>
      <c r="GP1319" s="1"/>
      <c r="GQ1319" s="1"/>
      <c r="GR1319" s="1"/>
      <c r="GS1319" s="1"/>
      <c r="GT1319" s="1"/>
      <c r="GU1319" s="1"/>
      <c r="GV1319" s="1"/>
      <c r="GW1319" s="1"/>
      <c r="GX1319" s="1"/>
      <c r="GY1319" s="1"/>
      <c r="GZ1319" s="1"/>
      <c r="HA1319" s="1"/>
      <c r="HB1319" s="1"/>
      <c r="HC1319" s="1"/>
      <c r="HD1319" s="1"/>
      <c r="HE1319" s="1"/>
      <c r="HF1319" s="1"/>
      <c r="HG1319" s="1"/>
      <c r="HH1319" s="1"/>
    </row>
    <row r="1320" spans="1:216" x14ac:dyDescent="0.3">
      <c r="A1320" s="3"/>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c r="FT1320" s="1"/>
      <c r="FU1320" s="1"/>
      <c r="FV1320" s="1"/>
      <c r="FW1320" s="1"/>
      <c r="FX1320" s="1"/>
      <c r="FY1320" s="1"/>
      <c r="FZ1320" s="1"/>
      <c r="GA1320" s="1"/>
      <c r="GB1320" s="1"/>
      <c r="GC1320" s="1"/>
      <c r="GD1320" s="1"/>
      <c r="GE1320" s="1"/>
      <c r="GF1320" s="1"/>
      <c r="GG1320" s="1"/>
      <c r="GH1320" s="1"/>
      <c r="GI1320" s="1"/>
      <c r="GJ1320" s="1"/>
      <c r="GK1320" s="1"/>
      <c r="GL1320" s="1"/>
      <c r="GM1320" s="1"/>
      <c r="GN1320" s="1"/>
      <c r="GO1320" s="1"/>
      <c r="GP1320" s="1"/>
      <c r="GQ1320" s="1"/>
      <c r="GR1320" s="1"/>
      <c r="GS1320" s="1"/>
      <c r="GT1320" s="1"/>
      <c r="GU1320" s="1"/>
      <c r="GV1320" s="1"/>
      <c r="GW1320" s="1"/>
      <c r="GX1320" s="1"/>
      <c r="GY1320" s="1"/>
      <c r="GZ1320" s="1"/>
      <c r="HA1320" s="1"/>
      <c r="HB1320" s="1"/>
      <c r="HC1320" s="1"/>
      <c r="HD1320" s="1"/>
      <c r="HE1320" s="1"/>
      <c r="HF1320" s="1"/>
      <c r="HG1320" s="1"/>
      <c r="HH1320" s="1"/>
    </row>
    <row r="1321" spans="1:216" x14ac:dyDescent="0.3">
      <c r="A1321" s="3"/>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c r="FT1321" s="1"/>
      <c r="FU1321" s="1"/>
      <c r="FV1321" s="1"/>
      <c r="FW1321" s="1"/>
      <c r="FX1321" s="1"/>
      <c r="FY1321" s="1"/>
      <c r="FZ1321" s="1"/>
      <c r="GA1321" s="1"/>
      <c r="GB1321" s="1"/>
      <c r="GC1321" s="1"/>
      <c r="GD1321" s="1"/>
      <c r="GE1321" s="1"/>
      <c r="GF1321" s="1"/>
      <c r="GG1321" s="1"/>
      <c r="GH1321" s="1"/>
      <c r="GI1321" s="1"/>
      <c r="GJ1321" s="1"/>
      <c r="GK1321" s="1"/>
      <c r="GL1321" s="1"/>
      <c r="GM1321" s="1"/>
      <c r="GN1321" s="1"/>
      <c r="GO1321" s="1"/>
      <c r="GP1321" s="1"/>
      <c r="GQ1321" s="1"/>
      <c r="GR1321" s="1"/>
      <c r="GS1321" s="1"/>
      <c r="GT1321" s="1"/>
      <c r="GU1321" s="1"/>
      <c r="GV1321" s="1"/>
      <c r="GW1321" s="1"/>
      <c r="GX1321" s="1"/>
      <c r="GY1321" s="1"/>
      <c r="GZ1321" s="1"/>
      <c r="HA1321" s="1"/>
      <c r="HB1321" s="1"/>
      <c r="HC1321" s="1"/>
      <c r="HD1321" s="1"/>
      <c r="HE1321" s="1"/>
      <c r="HF1321" s="1"/>
      <c r="HG1321" s="1"/>
      <c r="HH1321" s="1"/>
    </row>
    <row r="1322" spans="1:216" x14ac:dyDescent="0.3">
      <c r="A1322" s="3"/>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c r="FT1322" s="1"/>
      <c r="FU1322" s="1"/>
      <c r="FV1322" s="1"/>
      <c r="FW1322" s="1"/>
      <c r="FX1322" s="1"/>
      <c r="FY1322" s="1"/>
      <c r="FZ1322" s="1"/>
      <c r="GA1322" s="1"/>
      <c r="GB1322" s="1"/>
      <c r="GC1322" s="1"/>
      <c r="GD1322" s="1"/>
      <c r="GE1322" s="1"/>
      <c r="GF1322" s="1"/>
      <c r="GG1322" s="1"/>
      <c r="GH1322" s="1"/>
      <c r="GI1322" s="1"/>
      <c r="GJ1322" s="1"/>
      <c r="GK1322" s="1"/>
      <c r="GL1322" s="1"/>
      <c r="GM1322" s="1"/>
      <c r="GN1322" s="1"/>
      <c r="GO1322" s="1"/>
      <c r="GP1322" s="1"/>
      <c r="GQ1322" s="1"/>
      <c r="GR1322" s="1"/>
      <c r="GS1322" s="1"/>
      <c r="GT1322" s="1"/>
      <c r="GU1322" s="1"/>
      <c r="GV1322" s="1"/>
      <c r="GW1322" s="1"/>
      <c r="GX1322" s="1"/>
      <c r="GY1322" s="1"/>
      <c r="GZ1322" s="1"/>
      <c r="HA1322" s="1"/>
      <c r="HB1322" s="1"/>
      <c r="HC1322" s="1"/>
      <c r="HD1322" s="1"/>
      <c r="HE1322" s="1"/>
      <c r="HF1322" s="1"/>
      <c r="HG1322" s="1"/>
      <c r="HH1322" s="1"/>
    </row>
    <row r="1323" spans="1:216" x14ac:dyDescent="0.3">
      <c r="A1323" s="3"/>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c r="FT1323" s="1"/>
      <c r="FU1323" s="1"/>
      <c r="FV1323" s="1"/>
      <c r="FW1323" s="1"/>
      <c r="FX1323" s="1"/>
      <c r="FY1323" s="1"/>
      <c r="FZ1323" s="1"/>
      <c r="GA1323" s="1"/>
      <c r="GB1323" s="1"/>
      <c r="GC1323" s="1"/>
      <c r="GD1323" s="1"/>
      <c r="GE1323" s="1"/>
      <c r="GF1323" s="1"/>
      <c r="GG1323" s="1"/>
      <c r="GH1323" s="1"/>
      <c r="GI1323" s="1"/>
      <c r="GJ1323" s="1"/>
      <c r="GK1323" s="1"/>
      <c r="GL1323" s="1"/>
      <c r="GM1323" s="1"/>
      <c r="GN1323" s="1"/>
      <c r="GO1323" s="1"/>
      <c r="GP1323" s="1"/>
      <c r="GQ1323" s="1"/>
      <c r="GR1323" s="1"/>
      <c r="GS1323" s="1"/>
      <c r="GT1323" s="1"/>
      <c r="GU1323" s="1"/>
      <c r="GV1323" s="1"/>
      <c r="GW1323" s="1"/>
      <c r="GX1323" s="1"/>
      <c r="GY1323" s="1"/>
      <c r="GZ1323" s="1"/>
      <c r="HA1323" s="1"/>
      <c r="HB1323" s="1"/>
      <c r="HC1323" s="1"/>
      <c r="HD1323" s="1"/>
      <c r="HE1323" s="1"/>
      <c r="HF1323" s="1"/>
      <c r="HG1323" s="1"/>
      <c r="HH1323" s="1"/>
    </row>
    <row r="1324" spans="1:216" x14ac:dyDescent="0.3">
      <c r="A1324" s="3"/>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c r="FT1324" s="1"/>
      <c r="FU1324" s="1"/>
      <c r="FV1324" s="1"/>
      <c r="FW1324" s="1"/>
      <c r="FX1324" s="1"/>
      <c r="FY1324" s="1"/>
      <c r="FZ1324" s="1"/>
      <c r="GA1324" s="1"/>
      <c r="GB1324" s="1"/>
      <c r="GC1324" s="1"/>
      <c r="GD1324" s="1"/>
      <c r="GE1324" s="1"/>
      <c r="GF1324" s="1"/>
      <c r="GG1324" s="1"/>
      <c r="GH1324" s="1"/>
      <c r="GI1324" s="1"/>
      <c r="GJ1324" s="1"/>
      <c r="GK1324" s="1"/>
      <c r="GL1324" s="1"/>
      <c r="GM1324" s="1"/>
      <c r="GN1324" s="1"/>
      <c r="GO1324" s="1"/>
      <c r="GP1324" s="1"/>
      <c r="GQ1324" s="1"/>
      <c r="GR1324" s="1"/>
      <c r="GS1324" s="1"/>
      <c r="GT1324" s="1"/>
      <c r="GU1324" s="1"/>
      <c r="GV1324" s="1"/>
      <c r="GW1324" s="1"/>
      <c r="GX1324" s="1"/>
      <c r="GY1324" s="1"/>
      <c r="GZ1324" s="1"/>
      <c r="HA1324" s="1"/>
      <c r="HB1324" s="1"/>
      <c r="HC1324" s="1"/>
      <c r="HD1324" s="1"/>
      <c r="HE1324" s="1"/>
      <c r="HF1324" s="1"/>
      <c r="HG1324" s="1"/>
      <c r="HH1324" s="1"/>
    </row>
    <row r="1325" spans="1:216" x14ac:dyDescent="0.3">
      <c r="A1325" s="3"/>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c r="FT1325" s="1"/>
      <c r="FU1325" s="1"/>
      <c r="FV1325" s="1"/>
      <c r="FW1325" s="1"/>
      <c r="FX1325" s="1"/>
      <c r="FY1325" s="1"/>
      <c r="FZ1325" s="1"/>
      <c r="GA1325" s="1"/>
      <c r="GB1325" s="1"/>
      <c r="GC1325" s="1"/>
      <c r="GD1325" s="1"/>
      <c r="GE1325" s="1"/>
      <c r="GF1325" s="1"/>
      <c r="GG1325" s="1"/>
      <c r="GH1325" s="1"/>
      <c r="GI1325" s="1"/>
      <c r="GJ1325" s="1"/>
      <c r="GK1325" s="1"/>
      <c r="GL1325" s="1"/>
      <c r="GM1325" s="1"/>
      <c r="GN1325" s="1"/>
      <c r="GO1325" s="1"/>
      <c r="GP1325" s="1"/>
      <c r="GQ1325" s="1"/>
      <c r="GR1325" s="1"/>
      <c r="GS1325" s="1"/>
      <c r="GT1325" s="1"/>
      <c r="GU1325" s="1"/>
      <c r="GV1325" s="1"/>
      <c r="GW1325" s="1"/>
      <c r="GX1325" s="1"/>
      <c r="GY1325" s="1"/>
      <c r="GZ1325" s="1"/>
      <c r="HA1325" s="1"/>
      <c r="HB1325" s="1"/>
      <c r="HC1325" s="1"/>
      <c r="HD1325" s="1"/>
      <c r="HE1325" s="1"/>
      <c r="HF1325" s="1"/>
      <c r="HG1325" s="1"/>
      <c r="HH1325" s="1"/>
    </row>
    <row r="1326" spans="1:216" x14ac:dyDescent="0.3">
      <c r="A1326" s="3"/>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c r="FT1326" s="1"/>
      <c r="FU1326" s="1"/>
      <c r="FV1326" s="1"/>
      <c r="FW1326" s="1"/>
      <c r="FX1326" s="1"/>
      <c r="FY1326" s="1"/>
      <c r="FZ1326" s="1"/>
      <c r="GA1326" s="1"/>
      <c r="GB1326" s="1"/>
      <c r="GC1326" s="1"/>
      <c r="GD1326" s="1"/>
      <c r="GE1326" s="1"/>
      <c r="GF1326" s="1"/>
      <c r="GG1326" s="1"/>
      <c r="GH1326" s="1"/>
      <c r="GI1326" s="1"/>
      <c r="GJ1326" s="1"/>
      <c r="GK1326" s="1"/>
      <c r="GL1326" s="1"/>
      <c r="GM1326" s="1"/>
      <c r="GN1326" s="1"/>
      <c r="GO1326" s="1"/>
      <c r="GP1326" s="1"/>
      <c r="GQ1326" s="1"/>
      <c r="GR1326" s="1"/>
      <c r="GS1326" s="1"/>
      <c r="GT1326" s="1"/>
      <c r="GU1326" s="1"/>
      <c r="GV1326" s="1"/>
      <c r="GW1326" s="1"/>
      <c r="GX1326" s="1"/>
      <c r="GY1326" s="1"/>
      <c r="GZ1326" s="1"/>
      <c r="HA1326" s="1"/>
      <c r="HB1326" s="1"/>
      <c r="HC1326" s="1"/>
      <c r="HD1326" s="1"/>
      <c r="HE1326" s="1"/>
      <c r="HF1326" s="1"/>
      <c r="HG1326" s="1"/>
      <c r="HH1326" s="1"/>
    </row>
    <row r="1327" spans="1:216" x14ac:dyDescent="0.3">
      <c r="A1327" s="3"/>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c r="FT1327" s="1"/>
      <c r="FU1327" s="1"/>
      <c r="FV1327" s="1"/>
      <c r="FW1327" s="1"/>
      <c r="FX1327" s="1"/>
      <c r="FY1327" s="1"/>
      <c r="FZ1327" s="1"/>
      <c r="GA1327" s="1"/>
      <c r="GB1327" s="1"/>
      <c r="GC1327" s="1"/>
      <c r="GD1327" s="1"/>
      <c r="GE1327" s="1"/>
      <c r="GF1327" s="1"/>
      <c r="GG1327" s="1"/>
      <c r="GH1327" s="1"/>
      <c r="GI1327" s="1"/>
      <c r="GJ1327" s="1"/>
      <c r="GK1327" s="1"/>
      <c r="GL1327" s="1"/>
      <c r="GM1327" s="1"/>
      <c r="GN1327" s="1"/>
      <c r="GO1327" s="1"/>
      <c r="GP1327" s="1"/>
      <c r="GQ1327" s="1"/>
      <c r="GR1327" s="1"/>
      <c r="GS1327" s="1"/>
      <c r="GT1327" s="1"/>
      <c r="GU1327" s="1"/>
      <c r="GV1327" s="1"/>
      <c r="GW1327" s="1"/>
      <c r="GX1327" s="1"/>
      <c r="GY1327" s="1"/>
      <c r="GZ1327" s="1"/>
      <c r="HA1327" s="1"/>
      <c r="HB1327" s="1"/>
      <c r="HC1327" s="1"/>
      <c r="HD1327" s="1"/>
      <c r="HE1327" s="1"/>
      <c r="HF1327" s="1"/>
      <c r="HG1327" s="1"/>
      <c r="HH1327" s="1"/>
    </row>
    <row r="1328" spans="1:216" x14ac:dyDescent="0.3">
      <c r="A1328" s="3"/>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c r="FT1328" s="1"/>
      <c r="FU1328" s="1"/>
      <c r="FV1328" s="1"/>
      <c r="FW1328" s="1"/>
      <c r="FX1328" s="1"/>
      <c r="FY1328" s="1"/>
      <c r="FZ1328" s="1"/>
      <c r="GA1328" s="1"/>
      <c r="GB1328" s="1"/>
      <c r="GC1328" s="1"/>
      <c r="GD1328" s="1"/>
      <c r="GE1328" s="1"/>
      <c r="GF1328" s="1"/>
      <c r="GG1328" s="1"/>
      <c r="GH1328" s="1"/>
      <c r="GI1328" s="1"/>
      <c r="GJ1328" s="1"/>
      <c r="GK1328" s="1"/>
      <c r="GL1328" s="1"/>
      <c r="GM1328" s="1"/>
      <c r="GN1328" s="1"/>
      <c r="GO1328" s="1"/>
      <c r="GP1328" s="1"/>
      <c r="GQ1328" s="1"/>
      <c r="GR1328" s="1"/>
      <c r="GS1328" s="1"/>
      <c r="GT1328" s="1"/>
      <c r="GU1328" s="1"/>
      <c r="GV1328" s="1"/>
      <c r="GW1328" s="1"/>
      <c r="GX1328" s="1"/>
      <c r="GY1328" s="1"/>
      <c r="GZ1328" s="1"/>
      <c r="HA1328" s="1"/>
      <c r="HB1328" s="1"/>
      <c r="HC1328" s="1"/>
      <c r="HD1328" s="1"/>
      <c r="HE1328" s="1"/>
      <c r="HF1328" s="1"/>
      <c r="HG1328" s="1"/>
      <c r="HH1328" s="1"/>
    </row>
    <row r="1329" spans="1:216" x14ac:dyDescent="0.3">
      <c r="A1329" s="3"/>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c r="FT1329" s="1"/>
      <c r="FU1329" s="1"/>
      <c r="FV1329" s="1"/>
      <c r="FW1329" s="1"/>
      <c r="FX1329" s="1"/>
      <c r="FY1329" s="1"/>
      <c r="FZ1329" s="1"/>
      <c r="GA1329" s="1"/>
      <c r="GB1329" s="1"/>
      <c r="GC1329" s="1"/>
      <c r="GD1329" s="1"/>
      <c r="GE1329" s="1"/>
      <c r="GF1329" s="1"/>
      <c r="GG1329" s="1"/>
      <c r="GH1329" s="1"/>
      <c r="GI1329" s="1"/>
      <c r="GJ1329" s="1"/>
      <c r="GK1329" s="1"/>
      <c r="GL1329" s="1"/>
      <c r="GM1329" s="1"/>
      <c r="GN1329" s="1"/>
      <c r="GO1329" s="1"/>
      <c r="GP1329" s="1"/>
      <c r="GQ1329" s="1"/>
      <c r="GR1329" s="1"/>
      <c r="GS1329" s="1"/>
      <c r="GT1329" s="1"/>
      <c r="GU1329" s="1"/>
      <c r="GV1329" s="1"/>
      <c r="GW1329" s="1"/>
      <c r="GX1329" s="1"/>
      <c r="GY1329" s="1"/>
      <c r="GZ1329" s="1"/>
      <c r="HA1329" s="1"/>
      <c r="HB1329" s="1"/>
      <c r="HC1329" s="1"/>
      <c r="HD1329" s="1"/>
      <c r="HE1329" s="1"/>
      <c r="HF1329" s="1"/>
      <c r="HG1329" s="1"/>
      <c r="HH1329" s="1"/>
    </row>
    <row r="1330" spans="1:216" x14ac:dyDescent="0.3">
      <c r="A1330" s="3"/>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c r="FT1330" s="1"/>
      <c r="FU1330" s="1"/>
      <c r="FV1330" s="1"/>
      <c r="FW1330" s="1"/>
      <c r="FX1330" s="1"/>
      <c r="FY1330" s="1"/>
      <c r="FZ1330" s="1"/>
      <c r="GA1330" s="1"/>
      <c r="GB1330" s="1"/>
      <c r="GC1330" s="1"/>
      <c r="GD1330" s="1"/>
      <c r="GE1330" s="1"/>
      <c r="GF1330" s="1"/>
      <c r="GG1330" s="1"/>
      <c r="GH1330" s="1"/>
      <c r="GI1330" s="1"/>
      <c r="GJ1330" s="1"/>
      <c r="GK1330" s="1"/>
      <c r="GL1330" s="1"/>
      <c r="GM1330" s="1"/>
      <c r="GN1330" s="1"/>
      <c r="GO1330" s="1"/>
      <c r="GP1330" s="1"/>
      <c r="GQ1330" s="1"/>
      <c r="GR1330" s="1"/>
      <c r="GS1330" s="1"/>
      <c r="GT1330" s="1"/>
      <c r="GU1330" s="1"/>
      <c r="GV1330" s="1"/>
      <c r="GW1330" s="1"/>
      <c r="GX1330" s="1"/>
      <c r="GY1330" s="1"/>
      <c r="GZ1330" s="1"/>
      <c r="HA1330" s="1"/>
      <c r="HB1330" s="1"/>
      <c r="HC1330" s="1"/>
      <c r="HD1330" s="1"/>
      <c r="HE1330" s="1"/>
      <c r="HF1330" s="1"/>
      <c r="HG1330" s="1"/>
      <c r="HH1330" s="1"/>
    </row>
    <row r="1331" spans="1:216" x14ac:dyDescent="0.3">
      <c r="A1331" s="3"/>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c r="FT1331" s="1"/>
      <c r="FU1331" s="1"/>
      <c r="FV1331" s="1"/>
      <c r="FW1331" s="1"/>
      <c r="FX1331" s="1"/>
      <c r="FY1331" s="1"/>
      <c r="FZ1331" s="1"/>
      <c r="GA1331" s="1"/>
      <c r="GB1331" s="1"/>
      <c r="GC1331" s="1"/>
      <c r="GD1331" s="1"/>
      <c r="GE1331" s="1"/>
      <c r="GF1331" s="1"/>
      <c r="GG1331" s="1"/>
      <c r="GH1331" s="1"/>
      <c r="GI1331" s="1"/>
      <c r="GJ1331" s="1"/>
      <c r="GK1331" s="1"/>
      <c r="GL1331" s="1"/>
      <c r="GM1331" s="1"/>
      <c r="GN1331" s="1"/>
      <c r="GO1331" s="1"/>
      <c r="GP1331" s="1"/>
      <c r="GQ1331" s="1"/>
      <c r="GR1331" s="1"/>
      <c r="GS1331" s="1"/>
      <c r="GT1331" s="1"/>
      <c r="GU1331" s="1"/>
      <c r="GV1331" s="1"/>
      <c r="GW1331" s="1"/>
      <c r="GX1331" s="1"/>
      <c r="GY1331" s="1"/>
      <c r="GZ1331" s="1"/>
      <c r="HA1331" s="1"/>
      <c r="HB1331" s="1"/>
      <c r="HC1331" s="1"/>
      <c r="HD1331" s="1"/>
      <c r="HE1331" s="1"/>
      <c r="HF1331" s="1"/>
      <c r="HG1331" s="1"/>
      <c r="HH1331" s="1"/>
    </row>
    <row r="1332" spans="1:216" x14ac:dyDescent="0.3">
      <c r="A1332" s="3"/>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c r="FT1332" s="1"/>
      <c r="FU1332" s="1"/>
      <c r="FV1332" s="1"/>
      <c r="FW1332" s="1"/>
      <c r="FX1332" s="1"/>
      <c r="FY1332" s="1"/>
      <c r="FZ1332" s="1"/>
      <c r="GA1332" s="1"/>
      <c r="GB1332" s="1"/>
      <c r="GC1332" s="1"/>
      <c r="GD1332" s="1"/>
      <c r="GE1332" s="1"/>
      <c r="GF1332" s="1"/>
      <c r="GG1332" s="1"/>
      <c r="GH1332" s="1"/>
      <c r="GI1332" s="1"/>
      <c r="GJ1332" s="1"/>
      <c r="GK1332" s="1"/>
      <c r="GL1332" s="1"/>
      <c r="GM1332" s="1"/>
      <c r="GN1332" s="1"/>
      <c r="GO1332" s="1"/>
      <c r="GP1332" s="1"/>
      <c r="GQ1332" s="1"/>
      <c r="GR1332" s="1"/>
      <c r="GS1332" s="1"/>
      <c r="GT1332" s="1"/>
      <c r="GU1332" s="1"/>
      <c r="GV1332" s="1"/>
      <c r="GW1332" s="1"/>
      <c r="GX1332" s="1"/>
      <c r="GY1332" s="1"/>
      <c r="GZ1332" s="1"/>
      <c r="HA1332" s="1"/>
      <c r="HB1332" s="1"/>
      <c r="HC1332" s="1"/>
      <c r="HD1332" s="1"/>
      <c r="HE1332" s="1"/>
      <c r="HF1332" s="1"/>
      <c r="HG1332" s="1"/>
      <c r="HH1332" s="1"/>
    </row>
    <row r="1333" spans="1:216" x14ac:dyDescent="0.3">
      <c r="A1333" s="3"/>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c r="FT1333" s="1"/>
      <c r="FU1333" s="1"/>
      <c r="FV1333" s="1"/>
      <c r="FW1333" s="1"/>
      <c r="FX1333" s="1"/>
      <c r="FY1333" s="1"/>
      <c r="FZ1333" s="1"/>
      <c r="GA1333" s="1"/>
      <c r="GB1333" s="1"/>
      <c r="GC1333" s="1"/>
      <c r="GD1333" s="1"/>
      <c r="GE1333" s="1"/>
      <c r="GF1333" s="1"/>
      <c r="GG1333" s="1"/>
      <c r="GH1333" s="1"/>
      <c r="GI1333" s="1"/>
      <c r="GJ1333" s="1"/>
      <c r="GK1333" s="1"/>
      <c r="GL1333" s="1"/>
      <c r="GM1333" s="1"/>
      <c r="GN1333" s="1"/>
      <c r="GO1333" s="1"/>
      <c r="GP1333" s="1"/>
      <c r="GQ1333" s="1"/>
      <c r="GR1333" s="1"/>
      <c r="GS1333" s="1"/>
      <c r="GT1333" s="1"/>
      <c r="GU1333" s="1"/>
      <c r="GV1333" s="1"/>
      <c r="GW1333" s="1"/>
      <c r="GX1333" s="1"/>
      <c r="GY1333" s="1"/>
      <c r="GZ1333" s="1"/>
      <c r="HA1333" s="1"/>
      <c r="HB1333" s="1"/>
      <c r="HC1333" s="1"/>
      <c r="HD1333" s="1"/>
      <c r="HE1333" s="1"/>
      <c r="HF1333" s="1"/>
      <c r="HG1333" s="1"/>
      <c r="HH1333" s="1"/>
    </row>
    <row r="1334" spans="1:216" x14ac:dyDescent="0.3">
      <c r="A1334" s="3"/>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c r="FT1334" s="1"/>
      <c r="FU1334" s="1"/>
      <c r="FV1334" s="1"/>
      <c r="FW1334" s="1"/>
      <c r="FX1334" s="1"/>
      <c r="FY1334" s="1"/>
      <c r="FZ1334" s="1"/>
      <c r="GA1334" s="1"/>
      <c r="GB1334" s="1"/>
      <c r="GC1334" s="1"/>
      <c r="GD1334" s="1"/>
      <c r="GE1334" s="1"/>
      <c r="GF1334" s="1"/>
      <c r="GG1334" s="1"/>
      <c r="GH1334" s="1"/>
      <c r="GI1334" s="1"/>
      <c r="GJ1334" s="1"/>
      <c r="GK1334" s="1"/>
      <c r="GL1334" s="1"/>
      <c r="GM1334" s="1"/>
      <c r="GN1334" s="1"/>
      <c r="GO1334" s="1"/>
      <c r="GP1334" s="1"/>
      <c r="GQ1334" s="1"/>
      <c r="GR1334" s="1"/>
      <c r="GS1334" s="1"/>
      <c r="GT1334" s="1"/>
      <c r="GU1334" s="1"/>
      <c r="GV1334" s="1"/>
      <c r="GW1334" s="1"/>
      <c r="GX1334" s="1"/>
      <c r="GY1334" s="1"/>
      <c r="GZ1334" s="1"/>
      <c r="HA1334" s="1"/>
      <c r="HB1334" s="1"/>
      <c r="HC1334" s="1"/>
      <c r="HD1334" s="1"/>
      <c r="HE1334" s="1"/>
      <c r="HF1334" s="1"/>
      <c r="HG1334" s="1"/>
      <c r="HH1334" s="1"/>
    </row>
    <row r="1335" spans="1:216" x14ac:dyDescent="0.3">
      <c r="A1335" s="3"/>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c r="FT1335" s="1"/>
      <c r="FU1335" s="1"/>
      <c r="FV1335" s="1"/>
      <c r="FW1335" s="1"/>
      <c r="FX1335" s="1"/>
      <c r="FY1335" s="1"/>
      <c r="FZ1335" s="1"/>
      <c r="GA1335" s="1"/>
      <c r="GB1335" s="1"/>
      <c r="GC1335" s="1"/>
      <c r="GD1335" s="1"/>
      <c r="GE1335" s="1"/>
      <c r="GF1335" s="1"/>
      <c r="GG1335" s="1"/>
      <c r="GH1335" s="1"/>
      <c r="GI1335" s="1"/>
      <c r="GJ1335" s="1"/>
      <c r="GK1335" s="1"/>
      <c r="GL1335" s="1"/>
      <c r="GM1335" s="1"/>
      <c r="GN1335" s="1"/>
      <c r="GO1335" s="1"/>
      <c r="GP1335" s="1"/>
      <c r="GQ1335" s="1"/>
      <c r="GR1335" s="1"/>
      <c r="GS1335" s="1"/>
      <c r="GT1335" s="1"/>
      <c r="GU1335" s="1"/>
      <c r="GV1335" s="1"/>
      <c r="GW1335" s="1"/>
      <c r="GX1335" s="1"/>
      <c r="GY1335" s="1"/>
      <c r="GZ1335" s="1"/>
      <c r="HA1335" s="1"/>
      <c r="HB1335" s="1"/>
      <c r="HC1335" s="1"/>
      <c r="HD1335" s="1"/>
      <c r="HE1335" s="1"/>
      <c r="HF1335" s="1"/>
      <c r="HG1335" s="1"/>
      <c r="HH1335" s="1"/>
    </row>
    <row r="1336" spans="1:216" x14ac:dyDescent="0.3">
      <c r="A1336" s="3"/>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c r="FT1336" s="1"/>
      <c r="FU1336" s="1"/>
      <c r="FV1336" s="1"/>
      <c r="FW1336" s="1"/>
      <c r="FX1336" s="1"/>
      <c r="FY1336" s="1"/>
      <c r="FZ1336" s="1"/>
      <c r="GA1336" s="1"/>
      <c r="GB1336" s="1"/>
      <c r="GC1336" s="1"/>
      <c r="GD1336" s="1"/>
      <c r="GE1336" s="1"/>
      <c r="GF1336" s="1"/>
      <c r="GG1336" s="1"/>
      <c r="GH1336" s="1"/>
      <c r="GI1336" s="1"/>
      <c r="GJ1336" s="1"/>
      <c r="GK1336" s="1"/>
      <c r="GL1336" s="1"/>
      <c r="GM1336" s="1"/>
      <c r="GN1336" s="1"/>
      <c r="GO1336" s="1"/>
      <c r="GP1336" s="1"/>
      <c r="GQ1336" s="1"/>
      <c r="GR1336" s="1"/>
      <c r="GS1336" s="1"/>
      <c r="GT1336" s="1"/>
      <c r="GU1336" s="1"/>
      <c r="GV1336" s="1"/>
      <c r="GW1336" s="1"/>
      <c r="GX1336" s="1"/>
      <c r="GY1336" s="1"/>
      <c r="GZ1336" s="1"/>
      <c r="HA1336" s="1"/>
      <c r="HB1336" s="1"/>
      <c r="HC1336" s="1"/>
      <c r="HD1336" s="1"/>
      <c r="HE1336" s="1"/>
      <c r="HF1336" s="1"/>
      <c r="HG1336" s="1"/>
      <c r="HH1336" s="1"/>
    </row>
    <row r="1337" spans="1:216" x14ac:dyDescent="0.3">
      <c r="A1337" s="3"/>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c r="FT1337" s="1"/>
      <c r="FU1337" s="1"/>
      <c r="FV1337" s="1"/>
      <c r="FW1337" s="1"/>
      <c r="FX1337" s="1"/>
      <c r="FY1337" s="1"/>
      <c r="FZ1337" s="1"/>
      <c r="GA1337" s="1"/>
      <c r="GB1337" s="1"/>
      <c r="GC1337" s="1"/>
      <c r="GD1337" s="1"/>
      <c r="GE1337" s="1"/>
      <c r="GF1337" s="1"/>
      <c r="GG1337" s="1"/>
      <c r="GH1337" s="1"/>
      <c r="GI1337" s="1"/>
      <c r="GJ1337" s="1"/>
      <c r="GK1337" s="1"/>
      <c r="GL1337" s="1"/>
      <c r="GM1337" s="1"/>
      <c r="GN1337" s="1"/>
      <c r="GO1337" s="1"/>
      <c r="GP1337" s="1"/>
      <c r="GQ1337" s="1"/>
      <c r="GR1337" s="1"/>
      <c r="GS1337" s="1"/>
      <c r="GT1337" s="1"/>
      <c r="GU1337" s="1"/>
      <c r="GV1337" s="1"/>
      <c r="GW1337" s="1"/>
      <c r="GX1337" s="1"/>
      <c r="GY1337" s="1"/>
      <c r="GZ1337" s="1"/>
      <c r="HA1337" s="1"/>
      <c r="HB1337" s="1"/>
      <c r="HC1337" s="1"/>
      <c r="HD1337" s="1"/>
      <c r="HE1337" s="1"/>
      <c r="HF1337" s="1"/>
      <c r="HG1337" s="1"/>
      <c r="HH1337" s="1"/>
    </row>
    <row r="1338" spans="1:216" x14ac:dyDescent="0.3">
      <c r="A1338" s="3"/>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c r="FT1338" s="1"/>
      <c r="FU1338" s="1"/>
      <c r="FV1338" s="1"/>
      <c r="FW1338" s="1"/>
      <c r="FX1338" s="1"/>
      <c r="FY1338" s="1"/>
      <c r="FZ1338" s="1"/>
      <c r="GA1338" s="1"/>
      <c r="GB1338" s="1"/>
      <c r="GC1338" s="1"/>
      <c r="GD1338" s="1"/>
      <c r="GE1338" s="1"/>
      <c r="GF1338" s="1"/>
      <c r="GG1338" s="1"/>
      <c r="GH1338" s="1"/>
      <c r="GI1338" s="1"/>
      <c r="GJ1338" s="1"/>
      <c r="GK1338" s="1"/>
      <c r="GL1338" s="1"/>
      <c r="GM1338" s="1"/>
      <c r="GN1338" s="1"/>
      <c r="GO1338" s="1"/>
      <c r="GP1338" s="1"/>
      <c r="GQ1338" s="1"/>
      <c r="GR1338" s="1"/>
      <c r="GS1338" s="1"/>
      <c r="GT1338" s="1"/>
      <c r="GU1338" s="1"/>
      <c r="GV1338" s="1"/>
      <c r="GW1338" s="1"/>
      <c r="GX1338" s="1"/>
      <c r="GY1338" s="1"/>
      <c r="GZ1338" s="1"/>
      <c r="HA1338" s="1"/>
      <c r="HB1338" s="1"/>
      <c r="HC1338" s="1"/>
      <c r="HD1338" s="1"/>
      <c r="HE1338" s="1"/>
      <c r="HF1338" s="1"/>
      <c r="HG1338" s="1"/>
      <c r="HH1338" s="1"/>
    </row>
    <row r="1339" spans="1:216" x14ac:dyDescent="0.3">
      <c r="A1339" s="3"/>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c r="FT1339" s="1"/>
      <c r="FU1339" s="1"/>
      <c r="FV1339" s="1"/>
      <c r="FW1339" s="1"/>
      <c r="FX1339" s="1"/>
      <c r="FY1339" s="1"/>
      <c r="FZ1339" s="1"/>
      <c r="GA1339" s="1"/>
      <c r="GB1339" s="1"/>
      <c r="GC1339" s="1"/>
      <c r="GD1339" s="1"/>
      <c r="GE1339" s="1"/>
      <c r="GF1339" s="1"/>
      <c r="GG1339" s="1"/>
      <c r="GH1339" s="1"/>
      <c r="GI1339" s="1"/>
      <c r="GJ1339" s="1"/>
      <c r="GK1339" s="1"/>
      <c r="GL1339" s="1"/>
      <c r="GM1339" s="1"/>
      <c r="GN1339" s="1"/>
      <c r="GO1339" s="1"/>
      <c r="GP1339" s="1"/>
      <c r="GQ1339" s="1"/>
      <c r="GR1339" s="1"/>
      <c r="GS1339" s="1"/>
      <c r="GT1339" s="1"/>
      <c r="GU1339" s="1"/>
      <c r="GV1339" s="1"/>
      <c r="GW1339" s="1"/>
      <c r="GX1339" s="1"/>
      <c r="GY1339" s="1"/>
      <c r="GZ1339" s="1"/>
      <c r="HA1339" s="1"/>
      <c r="HB1339" s="1"/>
      <c r="HC1339" s="1"/>
      <c r="HD1339" s="1"/>
      <c r="HE1339" s="1"/>
      <c r="HF1339" s="1"/>
      <c r="HG1339" s="1"/>
      <c r="HH1339" s="1"/>
    </row>
    <row r="1340" spans="1:216" x14ac:dyDescent="0.3">
      <c r="A1340" s="3"/>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c r="FT1340" s="1"/>
      <c r="FU1340" s="1"/>
      <c r="FV1340" s="1"/>
      <c r="FW1340" s="1"/>
      <c r="FX1340" s="1"/>
      <c r="FY1340" s="1"/>
      <c r="FZ1340" s="1"/>
      <c r="GA1340" s="1"/>
      <c r="GB1340" s="1"/>
      <c r="GC1340" s="1"/>
      <c r="GD1340" s="1"/>
      <c r="GE1340" s="1"/>
      <c r="GF1340" s="1"/>
      <c r="GG1340" s="1"/>
      <c r="GH1340" s="1"/>
      <c r="GI1340" s="1"/>
      <c r="GJ1340" s="1"/>
      <c r="GK1340" s="1"/>
      <c r="GL1340" s="1"/>
      <c r="GM1340" s="1"/>
      <c r="GN1340" s="1"/>
      <c r="GO1340" s="1"/>
      <c r="GP1340" s="1"/>
      <c r="GQ1340" s="1"/>
      <c r="GR1340" s="1"/>
      <c r="GS1340" s="1"/>
      <c r="GT1340" s="1"/>
      <c r="GU1340" s="1"/>
      <c r="GV1340" s="1"/>
      <c r="GW1340" s="1"/>
      <c r="GX1340" s="1"/>
      <c r="GY1340" s="1"/>
      <c r="GZ1340" s="1"/>
      <c r="HA1340" s="1"/>
      <c r="HB1340" s="1"/>
      <c r="HC1340" s="1"/>
      <c r="HD1340" s="1"/>
      <c r="HE1340" s="1"/>
      <c r="HF1340" s="1"/>
      <c r="HG1340" s="1"/>
      <c r="HH1340" s="1"/>
    </row>
    <row r="1341" spans="1:216" x14ac:dyDescent="0.3">
      <c r="A1341" s="3"/>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c r="FT1341" s="1"/>
      <c r="FU1341" s="1"/>
      <c r="FV1341" s="1"/>
      <c r="FW1341" s="1"/>
      <c r="FX1341" s="1"/>
      <c r="FY1341" s="1"/>
      <c r="FZ1341" s="1"/>
      <c r="GA1341" s="1"/>
      <c r="GB1341" s="1"/>
      <c r="GC1341" s="1"/>
      <c r="GD1341" s="1"/>
      <c r="GE1341" s="1"/>
      <c r="GF1341" s="1"/>
      <c r="GG1341" s="1"/>
      <c r="GH1341" s="1"/>
      <c r="GI1341" s="1"/>
      <c r="GJ1341" s="1"/>
      <c r="GK1341" s="1"/>
      <c r="GL1341" s="1"/>
      <c r="GM1341" s="1"/>
      <c r="GN1341" s="1"/>
      <c r="GO1341" s="1"/>
      <c r="GP1341" s="1"/>
      <c r="GQ1341" s="1"/>
      <c r="GR1341" s="1"/>
      <c r="GS1341" s="1"/>
      <c r="GT1341" s="1"/>
      <c r="GU1341" s="1"/>
      <c r="GV1341" s="1"/>
      <c r="GW1341" s="1"/>
      <c r="GX1341" s="1"/>
      <c r="GY1341" s="1"/>
      <c r="GZ1341" s="1"/>
      <c r="HA1341" s="1"/>
      <c r="HB1341" s="1"/>
      <c r="HC1341" s="1"/>
      <c r="HD1341" s="1"/>
      <c r="HE1341" s="1"/>
      <c r="HF1341" s="1"/>
      <c r="HG1341" s="1"/>
      <c r="HH1341" s="1"/>
    </row>
    <row r="1342" spans="1:216" x14ac:dyDescent="0.3">
      <c r="A1342" s="3"/>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c r="FT1342" s="1"/>
      <c r="FU1342" s="1"/>
      <c r="FV1342" s="1"/>
      <c r="FW1342" s="1"/>
      <c r="FX1342" s="1"/>
      <c r="FY1342" s="1"/>
      <c r="FZ1342" s="1"/>
      <c r="GA1342" s="1"/>
      <c r="GB1342" s="1"/>
      <c r="GC1342" s="1"/>
      <c r="GD1342" s="1"/>
      <c r="GE1342" s="1"/>
      <c r="GF1342" s="1"/>
      <c r="GG1342" s="1"/>
      <c r="GH1342" s="1"/>
      <c r="GI1342" s="1"/>
      <c r="GJ1342" s="1"/>
      <c r="GK1342" s="1"/>
      <c r="GL1342" s="1"/>
      <c r="GM1342" s="1"/>
      <c r="GN1342" s="1"/>
      <c r="GO1342" s="1"/>
      <c r="GP1342" s="1"/>
      <c r="GQ1342" s="1"/>
      <c r="GR1342" s="1"/>
      <c r="GS1342" s="1"/>
      <c r="GT1342" s="1"/>
      <c r="GU1342" s="1"/>
      <c r="GV1342" s="1"/>
      <c r="GW1342" s="1"/>
      <c r="GX1342" s="1"/>
      <c r="GY1342" s="1"/>
      <c r="GZ1342" s="1"/>
      <c r="HA1342" s="1"/>
      <c r="HB1342" s="1"/>
      <c r="HC1342" s="1"/>
      <c r="HD1342" s="1"/>
      <c r="HE1342" s="1"/>
      <c r="HF1342" s="1"/>
      <c r="HG1342" s="1"/>
      <c r="HH1342" s="1"/>
    </row>
    <row r="1343" spans="1:216" x14ac:dyDescent="0.3">
      <c r="A1343" s="3"/>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c r="FT1343" s="1"/>
      <c r="FU1343" s="1"/>
      <c r="FV1343" s="1"/>
      <c r="FW1343" s="1"/>
      <c r="FX1343" s="1"/>
      <c r="FY1343" s="1"/>
      <c r="FZ1343" s="1"/>
      <c r="GA1343" s="1"/>
      <c r="GB1343" s="1"/>
      <c r="GC1343" s="1"/>
      <c r="GD1343" s="1"/>
      <c r="GE1343" s="1"/>
      <c r="GF1343" s="1"/>
      <c r="GG1343" s="1"/>
      <c r="GH1343" s="1"/>
      <c r="GI1343" s="1"/>
      <c r="GJ1343" s="1"/>
      <c r="GK1343" s="1"/>
      <c r="GL1343" s="1"/>
      <c r="GM1343" s="1"/>
      <c r="GN1343" s="1"/>
      <c r="GO1343" s="1"/>
      <c r="GP1343" s="1"/>
      <c r="GQ1343" s="1"/>
      <c r="GR1343" s="1"/>
      <c r="GS1343" s="1"/>
      <c r="GT1343" s="1"/>
      <c r="GU1343" s="1"/>
      <c r="GV1343" s="1"/>
      <c r="GW1343" s="1"/>
      <c r="GX1343" s="1"/>
      <c r="GY1343" s="1"/>
      <c r="GZ1343" s="1"/>
      <c r="HA1343" s="1"/>
      <c r="HB1343" s="1"/>
      <c r="HC1343" s="1"/>
      <c r="HD1343" s="1"/>
      <c r="HE1343" s="1"/>
      <c r="HF1343" s="1"/>
      <c r="HG1343" s="1"/>
      <c r="HH1343" s="1"/>
    </row>
    <row r="1344" spans="1:216" x14ac:dyDescent="0.3">
      <c r="A1344" s="3"/>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c r="FT1344" s="1"/>
      <c r="FU1344" s="1"/>
      <c r="FV1344" s="1"/>
      <c r="FW1344" s="1"/>
      <c r="FX1344" s="1"/>
      <c r="FY1344" s="1"/>
      <c r="FZ1344" s="1"/>
      <c r="GA1344" s="1"/>
      <c r="GB1344" s="1"/>
      <c r="GC1344" s="1"/>
      <c r="GD1344" s="1"/>
      <c r="GE1344" s="1"/>
      <c r="GF1344" s="1"/>
      <c r="GG1344" s="1"/>
      <c r="GH1344" s="1"/>
      <c r="GI1344" s="1"/>
      <c r="GJ1344" s="1"/>
      <c r="GK1344" s="1"/>
      <c r="GL1344" s="1"/>
      <c r="GM1344" s="1"/>
      <c r="GN1344" s="1"/>
      <c r="GO1344" s="1"/>
      <c r="GP1344" s="1"/>
      <c r="GQ1344" s="1"/>
      <c r="GR1344" s="1"/>
      <c r="GS1344" s="1"/>
      <c r="GT1344" s="1"/>
      <c r="GU1344" s="1"/>
      <c r="GV1344" s="1"/>
      <c r="GW1344" s="1"/>
      <c r="GX1344" s="1"/>
      <c r="GY1344" s="1"/>
      <c r="GZ1344" s="1"/>
      <c r="HA1344" s="1"/>
      <c r="HB1344" s="1"/>
      <c r="HC1344" s="1"/>
      <c r="HD1344" s="1"/>
      <c r="HE1344" s="1"/>
      <c r="HF1344" s="1"/>
      <c r="HG1344" s="1"/>
      <c r="HH1344" s="1"/>
    </row>
    <row r="1345" spans="1:216" x14ac:dyDescent="0.3">
      <c r="A1345" s="3"/>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c r="FT1345" s="1"/>
      <c r="FU1345" s="1"/>
      <c r="FV1345" s="1"/>
      <c r="FW1345" s="1"/>
      <c r="FX1345" s="1"/>
      <c r="FY1345" s="1"/>
      <c r="FZ1345" s="1"/>
      <c r="GA1345" s="1"/>
      <c r="GB1345" s="1"/>
      <c r="GC1345" s="1"/>
      <c r="GD1345" s="1"/>
      <c r="GE1345" s="1"/>
      <c r="GF1345" s="1"/>
      <c r="GG1345" s="1"/>
      <c r="GH1345" s="1"/>
      <c r="GI1345" s="1"/>
      <c r="GJ1345" s="1"/>
      <c r="GK1345" s="1"/>
      <c r="GL1345" s="1"/>
      <c r="GM1345" s="1"/>
      <c r="GN1345" s="1"/>
      <c r="GO1345" s="1"/>
      <c r="GP1345" s="1"/>
      <c r="GQ1345" s="1"/>
      <c r="GR1345" s="1"/>
      <c r="GS1345" s="1"/>
      <c r="GT1345" s="1"/>
      <c r="GU1345" s="1"/>
      <c r="GV1345" s="1"/>
      <c r="GW1345" s="1"/>
      <c r="GX1345" s="1"/>
      <c r="GY1345" s="1"/>
      <c r="GZ1345" s="1"/>
      <c r="HA1345" s="1"/>
      <c r="HB1345" s="1"/>
      <c r="HC1345" s="1"/>
      <c r="HD1345" s="1"/>
      <c r="HE1345" s="1"/>
      <c r="HF1345" s="1"/>
      <c r="HG1345" s="1"/>
      <c r="HH1345" s="1"/>
    </row>
    <row r="1346" spans="1:216" x14ac:dyDescent="0.3">
      <c r="A1346" s="3"/>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c r="FT1346" s="1"/>
      <c r="FU1346" s="1"/>
      <c r="FV1346" s="1"/>
      <c r="FW1346" s="1"/>
      <c r="FX1346" s="1"/>
      <c r="FY1346" s="1"/>
      <c r="FZ1346" s="1"/>
      <c r="GA1346" s="1"/>
      <c r="GB1346" s="1"/>
      <c r="GC1346" s="1"/>
      <c r="GD1346" s="1"/>
      <c r="GE1346" s="1"/>
      <c r="GF1346" s="1"/>
      <c r="GG1346" s="1"/>
      <c r="GH1346" s="1"/>
      <c r="GI1346" s="1"/>
      <c r="GJ1346" s="1"/>
      <c r="GK1346" s="1"/>
      <c r="GL1346" s="1"/>
      <c r="GM1346" s="1"/>
      <c r="GN1346" s="1"/>
      <c r="GO1346" s="1"/>
      <c r="GP1346" s="1"/>
      <c r="GQ1346" s="1"/>
      <c r="GR1346" s="1"/>
      <c r="GS1346" s="1"/>
      <c r="GT1346" s="1"/>
      <c r="GU1346" s="1"/>
      <c r="GV1346" s="1"/>
      <c r="GW1346" s="1"/>
      <c r="GX1346" s="1"/>
      <c r="GY1346" s="1"/>
      <c r="GZ1346" s="1"/>
      <c r="HA1346" s="1"/>
      <c r="HB1346" s="1"/>
      <c r="HC1346" s="1"/>
      <c r="HD1346" s="1"/>
      <c r="HE1346" s="1"/>
      <c r="HF1346" s="1"/>
      <c r="HG1346" s="1"/>
      <c r="HH1346" s="1"/>
    </row>
    <row r="1347" spans="1:216" x14ac:dyDescent="0.3">
      <c r="A1347" s="3"/>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1"/>
      <c r="GD1347" s="1"/>
      <c r="GE1347" s="1"/>
      <c r="GF1347" s="1"/>
      <c r="GG1347" s="1"/>
      <c r="GH1347" s="1"/>
      <c r="GI1347" s="1"/>
      <c r="GJ1347" s="1"/>
      <c r="GK1347" s="1"/>
      <c r="GL1347" s="1"/>
      <c r="GM1347" s="1"/>
      <c r="GN1347" s="1"/>
      <c r="GO1347" s="1"/>
      <c r="GP1347" s="1"/>
      <c r="GQ1347" s="1"/>
      <c r="GR1347" s="1"/>
      <c r="GS1347" s="1"/>
      <c r="GT1347" s="1"/>
      <c r="GU1347" s="1"/>
      <c r="GV1347" s="1"/>
      <c r="GW1347" s="1"/>
      <c r="GX1347" s="1"/>
      <c r="GY1347" s="1"/>
      <c r="GZ1347" s="1"/>
      <c r="HA1347" s="1"/>
      <c r="HB1347" s="1"/>
      <c r="HC1347" s="1"/>
      <c r="HD1347" s="1"/>
      <c r="HE1347" s="1"/>
      <c r="HF1347" s="1"/>
      <c r="HG1347" s="1"/>
      <c r="HH1347" s="1"/>
    </row>
    <row r="1348" spans="1:216" x14ac:dyDescent="0.3">
      <c r="A1348" s="3"/>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c r="FT1348" s="1"/>
      <c r="FU1348" s="1"/>
      <c r="FV1348" s="1"/>
      <c r="FW1348" s="1"/>
      <c r="FX1348" s="1"/>
      <c r="FY1348" s="1"/>
      <c r="FZ1348" s="1"/>
      <c r="GA1348" s="1"/>
      <c r="GB1348" s="1"/>
      <c r="GC1348" s="1"/>
      <c r="GD1348" s="1"/>
      <c r="GE1348" s="1"/>
      <c r="GF1348" s="1"/>
      <c r="GG1348" s="1"/>
      <c r="GH1348" s="1"/>
      <c r="GI1348" s="1"/>
      <c r="GJ1348" s="1"/>
      <c r="GK1348" s="1"/>
      <c r="GL1348" s="1"/>
      <c r="GM1348" s="1"/>
      <c r="GN1348" s="1"/>
      <c r="GO1348" s="1"/>
      <c r="GP1348" s="1"/>
      <c r="GQ1348" s="1"/>
      <c r="GR1348" s="1"/>
      <c r="GS1348" s="1"/>
      <c r="GT1348" s="1"/>
      <c r="GU1348" s="1"/>
      <c r="GV1348" s="1"/>
      <c r="GW1348" s="1"/>
      <c r="GX1348" s="1"/>
      <c r="GY1348" s="1"/>
      <c r="GZ1348" s="1"/>
      <c r="HA1348" s="1"/>
      <c r="HB1348" s="1"/>
      <c r="HC1348" s="1"/>
      <c r="HD1348" s="1"/>
      <c r="HE1348" s="1"/>
      <c r="HF1348" s="1"/>
      <c r="HG1348" s="1"/>
      <c r="HH1348" s="1"/>
    </row>
    <row r="1349" spans="1:216" x14ac:dyDescent="0.3">
      <c r="A1349" s="3"/>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c r="FT1349" s="1"/>
      <c r="FU1349" s="1"/>
      <c r="FV1349" s="1"/>
      <c r="FW1349" s="1"/>
      <c r="FX1349" s="1"/>
      <c r="FY1349" s="1"/>
      <c r="FZ1349" s="1"/>
      <c r="GA1349" s="1"/>
      <c r="GB1349" s="1"/>
      <c r="GC1349" s="1"/>
      <c r="GD1349" s="1"/>
      <c r="GE1349" s="1"/>
      <c r="GF1349" s="1"/>
      <c r="GG1349" s="1"/>
      <c r="GH1349" s="1"/>
      <c r="GI1349" s="1"/>
      <c r="GJ1349" s="1"/>
      <c r="GK1349" s="1"/>
      <c r="GL1349" s="1"/>
      <c r="GM1349" s="1"/>
      <c r="GN1349" s="1"/>
      <c r="GO1349" s="1"/>
      <c r="GP1349" s="1"/>
      <c r="GQ1349" s="1"/>
      <c r="GR1349" s="1"/>
      <c r="GS1349" s="1"/>
      <c r="GT1349" s="1"/>
      <c r="GU1349" s="1"/>
      <c r="GV1349" s="1"/>
      <c r="GW1349" s="1"/>
      <c r="GX1349" s="1"/>
      <c r="GY1349" s="1"/>
      <c r="GZ1349" s="1"/>
      <c r="HA1349" s="1"/>
      <c r="HB1349" s="1"/>
      <c r="HC1349" s="1"/>
      <c r="HD1349" s="1"/>
      <c r="HE1349" s="1"/>
      <c r="HF1349" s="1"/>
      <c r="HG1349" s="1"/>
      <c r="HH1349" s="1"/>
    </row>
    <row r="1350" spans="1:216" x14ac:dyDescent="0.3">
      <c r="A1350" s="3"/>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c r="FT1350" s="1"/>
      <c r="FU1350" s="1"/>
      <c r="FV1350" s="1"/>
      <c r="FW1350" s="1"/>
      <c r="FX1350" s="1"/>
      <c r="FY1350" s="1"/>
      <c r="FZ1350" s="1"/>
      <c r="GA1350" s="1"/>
      <c r="GB1350" s="1"/>
      <c r="GC1350" s="1"/>
      <c r="GD1350" s="1"/>
      <c r="GE1350" s="1"/>
      <c r="GF1350" s="1"/>
      <c r="GG1350" s="1"/>
      <c r="GH1350" s="1"/>
      <c r="GI1350" s="1"/>
      <c r="GJ1350" s="1"/>
      <c r="GK1350" s="1"/>
      <c r="GL1350" s="1"/>
      <c r="GM1350" s="1"/>
      <c r="GN1350" s="1"/>
      <c r="GO1350" s="1"/>
      <c r="GP1350" s="1"/>
      <c r="GQ1350" s="1"/>
      <c r="GR1350" s="1"/>
      <c r="GS1350" s="1"/>
      <c r="GT1350" s="1"/>
      <c r="GU1350" s="1"/>
      <c r="GV1350" s="1"/>
      <c r="GW1350" s="1"/>
      <c r="GX1350" s="1"/>
      <c r="GY1350" s="1"/>
      <c r="GZ1350" s="1"/>
      <c r="HA1350" s="1"/>
      <c r="HB1350" s="1"/>
      <c r="HC1350" s="1"/>
      <c r="HD1350" s="1"/>
      <c r="HE1350" s="1"/>
      <c r="HF1350" s="1"/>
      <c r="HG1350" s="1"/>
      <c r="HH1350" s="1"/>
    </row>
    <row r="1351" spans="1:216" x14ac:dyDescent="0.3">
      <c r="A1351" s="3"/>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1"/>
      <c r="GD1351" s="1"/>
      <c r="GE1351" s="1"/>
      <c r="GF1351" s="1"/>
      <c r="GG1351" s="1"/>
      <c r="GH1351" s="1"/>
      <c r="GI1351" s="1"/>
      <c r="GJ1351" s="1"/>
      <c r="GK1351" s="1"/>
      <c r="GL1351" s="1"/>
      <c r="GM1351" s="1"/>
      <c r="GN1351" s="1"/>
      <c r="GO1351" s="1"/>
      <c r="GP1351" s="1"/>
      <c r="GQ1351" s="1"/>
      <c r="GR1351" s="1"/>
      <c r="GS1351" s="1"/>
      <c r="GT1351" s="1"/>
      <c r="GU1351" s="1"/>
      <c r="GV1351" s="1"/>
      <c r="GW1351" s="1"/>
      <c r="GX1351" s="1"/>
      <c r="GY1351" s="1"/>
      <c r="GZ1351" s="1"/>
      <c r="HA1351" s="1"/>
      <c r="HB1351" s="1"/>
      <c r="HC1351" s="1"/>
      <c r="HD1351" s="1"/>
      <c r="HE1351" s="1"/>
      <c r="HF1351" s="1"/>
      <c r="HG1351" s="1"/>
      <c r="HH1351" s="1"/>
    </row>
    <row r="1352" spans="1:216" x14ac:dyDescent="0.3">
      <c r="A1352" s="3"/>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c r="FT1352" s="1"/>
      <c r="FU1352" s="1"/>
      <c r="FV1352" s="1"/>
      <c r="FW1352" s="1"/>
      <c r="FX1352" s="1"/>
      <c r="FY1352" s="1"/>
      <c r="FZ1352" s="1"/>
      <c r="GA1352" s="1"/>
      <c r="GB1352" s="1"/>
      <c r="GC1352" s="1"/>
      <c r="GD1352" s="1"/>
      <c r="GE1352" s="1"/>
      <c r="GF1352" s="1"/>
      <c r="GG1352" s="1"/>
      <c r="GH1352" s="1"/>
      <c r="GI1352" s="1"/>
      <c r="GJ1352" s="1"/>
      <c r="GK1352" s="1"/>
      <c r="GL1352" s="1"/>
      <c r="GM1352" s="1"/>
      <c r="GN1352" s="1"/>
      <c r="GO1352" s="1"/>
      <c r="GP1352" s="1"/>
      <c r="GQ1352" s="1"/>
      <c r="GR1352" s="1"/>
      <c r="GS1352" s="1"/>
      <c r="GT1352" s="1"/>
      <c r="GU1352" s="1"/>
      <c r="GV1352" s="1"/>
      <c r="GW1352" s="1"/>
      <c r="GX1352" s="1"/>
      <c r="GY1352" s="1"/>
      <c r="GZ1352" s="1"/>
      <c r="HA1352" s="1"/>
      <c r="HB1352" s="1"/>
      <c r="HC1352" s="1"/>
      <c r="HD1352" s="1"/>
      <c r="HE1352" s="1"/>
      <c r="HF1352" s="1"/>
      <c r="HG1352" s="1"/>
      <c r="HH1352" s="1"/>
    </row>
    <row r="1353" spans="1:216" x14ac:dyDescent="0.3">
      <c r="A1353" s="3"/>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c r="FT1353" s="1"/>
      <c r="FU1353" s="1"/>
      <c r="FV1353" s="1"/>
      <c r="FW1353" s="1"/>
      <c r="FX1353" s="1"/>
      <c r="FY1353" s="1"/>
      <c r="FZ1353" s="1"/>
      <c r="GA1353" s="1"/>
      <c r="GB1353" s="1"/>
      <c r="GC1353" s="1"/>
      <c r="GD1353" s="1"/>
      <c r="GE1353" s="1"/>
      <c r="GF1353" s="1"/>
      <c r="GG1353" s="1"/>
      <c r="GH1353" s="1"/>
      <c r="GI1353" s="1"/>
      <c r="GJ1353" s="1"/>
      <c r="GK1353" s="1"/>
      <c r="GL1353" s="1"/>
      <c r="GM1353" s="1"/>
      <c r="GN1353" s="1"/>
      <c r="GO1353" s="1"/>
      <c r="GP1353" s="1"/>
      <c r="GQ1353" s="1"/>
      <c r="GR1353" s="1"/>
      <c r="GS1353" s="1"/>
      <c r="GT1353" s="1"/>
      <c r="GU1353" s="1"/>
      <c r="GV1353" s="1"/>
      <c r="GW1353" s="1"/>
      <c r="GX1353" s="1"/>
      <c r="GY1353" s="1"/>
      <c r="GZ1353" s="1"/>
      <c r="HA1353" s="1"/>
      <c r="HB1353" s="1"/>
      <c r="HC1353" s="1"/>
      <c r="HD1353" s="1"/>
      <c r="HE1353" s="1"/>
      <c r="HF1353" s="1"/>
      <c r="HG1353" s="1"/>
      <c r="HH1353" s="1"/>
    </row>
    <row r="1354" spans="1:216" x14ac:dyDescent="0.3">
      <c r="A1354" s="3"/>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c r="FT1354" s="1"/>
      <c r="FU1354" s="1"/>
      <c r="FV1354" s="1"/>
      <c r="FW1354" s="1"/>
      <c r="FX1354" s="1"/>
      <c r="FY1354" s="1"/>
      <c r="FZ1354" s="1"/>
      <c r="GA1354" s="1"/>
      <c r="GB1354" s="1"/>
      <c r="GC1354" s="1"/>
      <c r="GD1354" s="1"/>
      <c r="GE1354" s="1"/>
      <c r="GF1354" s="1"/>
      <c r="GG1354" s="1"/>
      <c r="GH1354" s="1"/>
      <c r="GI1354" s="1"/>
      <c r="GJ1354" s="1"/>
      <c r="GK1354" s="1"/>
      <c r="GL1354" s="1"/>
      <c r="GM1354" s="1"/>
      <c r="GN1354" s="1"/>
      <c r="GO1354" s="1"/>
      <c r="GP1354" s="1"/>
      <c r="GQ1354" s="1"/>
      <c r="GR1354" s="1"/>
      <c r="GS1354" s="1"/>
      <c r="GT1354" s="1"/>
      <c r="GU1354" s="1"/>
      <c r="GV1354" s="1"/>
      <c r="GW1354" s="1"/>
      <c r="GX1354" s="1"/>
      <c r="GY1354" s="1"/>
      <c r="GZ1354" s="1"/>
      <c r="HA1354" s="1"/>
      <c r="HB1354" s="1"/>
      <c r="HC1354" s="1"/>
      <c r="HD1354" s="1"/>
      <c r="HE1354" s="1"/>
      <c r="HF1354" s="1"/>
      <c r="HG1354" s="1"/>
      <c r="HH1354" s="1"/>
    </row>
    <row r="1355" spans="1:216" x14ac:dyDescent="0.3">
      <c r="A1355" s="3"/>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c r="FT1355" s="1"/>
      <c r="FU1355" s="1"/>
      <c r="FV1355" s="1"/>
      <c r="FW1355" s="1"/>
      <c r="FX1355" s="1"/>
      <c r="FY1355" s="1"/>
      <c r="FZ1355" s="1"/>
      <c r="GA1355" s="1"/>
      <c r="GB1355" s="1"/>
      <c r="GC1355" s="1"/>
      <c r="GD1355" s="1"/>
      <c r="GE1355" s="1"/>
      <c r="GF1355" s="1"/>
      <c r="GG1355" s="1"/>
      <c r="GH1355" s="1"/>
      <c r="GI1355" s="1"/>
      <c r="GJ1355" s="1"/>
      <c r="GK1355" s="1"/>
      <c r="GL1355" s="1"/>
      <c r="GM1355" s="1"/>
      <c r="GN1355" s="1"/>
      <c r="GO1355" s="1"/>
      <c r="GP1355" s="1"/>
      <c r="GQ1355" s="1"/>
      <c r="GR1355" s="1"/>
      <c r="GS1355" s="1"/>
      <c r="GT1355" s="1"/>
      <c r="GU1355" s="1"/>
      <c r="GV1355" s="1"/>
      <c r="GW1355" s="1"/>
      <c r="GX1355" s="1"/>
      <c r="GY1355" s="1"/>
      <c r="GZ1355" s="1"/>
      <c r="HA1355" s="1"/>
      <c r="HB1355" s="1"/>
      <c r="HC1355" s="1"/>
      <c r="HD1355" s="1"/>
      <c r="HE1355" s="1"/>
      <c r="HF1355" s="1"/>
      <c r="HG1355" s="1"/>
      <c r="HH1355" s="1"/>
    </row>
    <row r="1356" spans="1:216" x14ac:dyDescent="0.3">
      <c r="A1356" s="3"/>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c r="FT1356" s="1"/>
      <c r="FU1356" s="1"/>
      <c r="FV1356" s="1"/>
      <c r="FW1356" s="1"/>
      <c r="FX1356" s="1"/>
      <c r="FY1356" s="1"/>
      <c r="FZ1356" s="1"/>
      <c r="GA1356" s="1"/>
      <c r="GB1356" s="1"/>
      <c r="GC1356" s="1"/>
      <c r="GD1356" s="1"/>
      <c r="GE1356" s="1"/>
      <c r="GF1356" s="1"/>
      <c r="GG1356" s="1"/>
      <c r="GH1356" s="1"/>
      <c r="GI1356" s="1"/>
      <c r="GJ1356" s="1"/>
      <c r="GK1356" s="1"/>
      <c r="GL1356" s="1"/>
      <c r="GM1356" s="1"/>
      <c r="GN1356" s="1"/>
      <c r="GO1356" s="1"/>
      <c r="GP1356" s="1"/>
      <c r="GQ1356" s="1"/>
      <c r="GR1356" s="1"/>
      <c r="GS1356" s="1"/>
      <c r="GT1356" s="1"/>
      <c r="GU1356" s="1"/>
      <c r="GV1356" s="1"/>
      <c r="GW1356" s="1"/>
      <c r="GX1356" s="1"/>
      <c r="GY1356" s="1"/>
      <c r="GZ1356" s="1"/>
      <c r="HA1356" s="1"/>
      <c r="HB1356" s="1"/>
      <c r="HC1356" s="1"/>
      <c r="HD1356" s="1"/>
      <c r="HE1356" s="1"/>
      <c r="HF1356" s="1"/>
      <c r="HG1356" s="1"/>
      <c r="HH1356" s="1"/>
    </row>
    <row r="1357" spans="1:216" x14ac:dyDescent="0.3">
      <c r="A1357" s="3"/>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1"/>
      <c r="GD1357" s="1"/>
      <c r="GE1357" s="1"/>
      <c r="GF1357" s="1"/>
      <c r="GG1357" s="1"/>
      <c r="GH1357" s="1"/>
      <c r="GI1357" s="1"/>
      <c r="GJ1357" s="1"/>
      <c r="GK1357" s="1"/>
      <c r="GL1357" s="1"/>
      <c r="GM1357" s="1"/>
      <c r="GN1357" s="1"/>
      <c r="GO1357" s="1"/>
      <c r="GP1357" s="1"/>
      <c r="GQ1357" s="1"/>
      <c r="GR1357" s="1"/>
      <c r="GS1357" s="1"/>
      <c r="GT1357" s="1"/>
      <c r="GU1357" s="1"/>
      <c r="GV1357" s="1"/>
      <c r="GW1357" s="1"/>
      <c r="GX1357" s="1"/>
      <c r="GY1357" s="1"/>
      <c r="GZ1357" s="1"/>
      <c r="HA1357" s="1"/>
      <c r="HB1357" s="1"/>
      <c r="HC1357" s="1"/>
      <c r="HD1357" s="1"/>
      <c r="HE1357" s="1"/>
      <c r="HF1357" s="1"/>
      <c r="HG1357" s="1"/>
      <c r="HH1357" s="1"/>
    </row>
    <row r="1358" spans="1:216" x14ac:dyDescent="0.3">
      <c r="A1358" s="3"/>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1"/>
      <c r="GD1358" s="1"/>
      <c r="GE1358" s="1"/>
      <c r="GF1358" s="1"/>
      <c r="GG1358" s="1"/>
      <c r="GH1358" s="1"/>
      <c r="GI1358" s="1"/>
      <c r="GJ1358" s="1"/>
      <c r="GK1358" s="1"/>
      <c r="GL1358" s="1"/>
      <c r="GM1358" s="1"/>
      <c r="GN1358" s="1"/>
      <c r="GO1358" s="1"/>
      <c r="GP1358" s="1"/>
      <c r="GQ1358" s="1"/>
      <c r="GR1358" s="1"/>
      <c r="GS1358" s="1"/>
      <c r="GT1358" s="1"/>
      <c r="GU1358" s="1"/>
      <c r="GV1358" s="1"/>
      <c r="GW1358" s="1"/>
      <c r="GX1358" s="1"/>
      <c r="GY1358" s="1"/>
      <c r="GZ1358" s="1"/>
      <c r="HA1358" s="1"/>
      <c r="HB1358" s="1"/>
      <c r="HC1358" s="1"/>
      <c r="HD1358" s="1"/>
      <c r="HE1358" s="1"/>
      <c r="HF1358" s="1"/>
      <c r="HG1358" s="1"/>
      <c r="HH1358" s="1"/>
    </row>
    <row r="1359" spans="1:216" x14ac:dyDescent="0.3">
      <c r="A1359" s="3"/>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c r="FT1359" s="1"/>
      <c r="FU1359" s="1"/>
      <c r="FV1359" s="1"/>
      <c r="FW1359" s="1"/>
      <c r="FX1359" s="1"/>
      <c r="FY1359" s="1"/>
      <c r="FZ1359" s="1"/>
      <c r="GA1359" s="1"/>
      <c r="GB1359" s="1"/>
      <c r="GC1359" s="1"/>
      <c r="GD1359" s="1"/>
      <c r="GE1359" s="1"/>
      <c r="GF1359" s="1"/>
      <c r="GG1359" s="1"/>
      <c r="GH1359" s="1"/>
      <c r="GI1359" s="1"/>
      <c r="GJ1359" s="1"/>
      <c r="GK1359" s="1"/>
      <c r="GL1359" s="1"/>
      <c r="GM1359" s="1"/>
      <c r="GN1359" s="1"/>
      <c r="GO1359" s="1"/>
      <c r="GP1359" s="1"/>
      <c r="GQ1359" s="1"/>
      <c r="GR1359" s="1"/>
      <c r="GS1359" s="1"/>
      <c r="GT1359" s="1"/>
      <c r="GU1359" s="1"/>
      <c r="GV1359" s="1"/>
      <c r="GW1359" s="1"/>
      <c r="GX1359" s="1"/>
      <c r="GY1359" s="1"/>
      <c r="GZ1359" s="1"/>
      <c r="HA1359" s="1"/>
      <c r="HB1359" s="1"/>
      <c r="HC1359" s="1"/>
      <c r="HD1359" s="1"/>
      <c r="HE1359" s="1"/>
      <c r="HF1359" s="1"/>
      <c r="HG1359" s="1"/>
      <c r="HH1359" s="1"/>
    </row>
    <row r="1360" spans="1:216" x14ac:dyDescent="0.3">
      <c r="A1360" s="3"/>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c r="FT1360" s="1"/>
      <c r="FU1360" s="1"/>
      <c r="FV1360" s="1"/>
      <c r="FW1360" s="1"/>
      <c r="FX1360" s="1"/>
      <c r="FY1360" s="1"/>
      <c r="FZ1360" s="1"/>
      <c r="GA1360" s="1"/>
      <c r="GB1360" s="1"/>
      <c r="GC1360" s="1"/>
      <c r="GD1360" s="1"/>
      <c r="GE1360" s="1"/>
      <c r="GF1360" s="1"/>
      <c r="GG1360" s="1"/>
      <c r="GH1360" s="1"/>
      <c r="GI1360" s="1"/>
      <c r="GJ1360" s="1"/>
      <c r="GK1360" s="1"/>
      <c r="GL1360" s="1"/>
      <c r="GM1360" s="1"/>
      <c r="GN1360" s="1"/>
      <c r="GO1360" s="1"/>
      <c r="GP1360" s="1"/>
      <c r="GQ1360" s="1"/>
      <c r="GR1360" s="1"/>
      <c r="GS1360" s="1"/>
      <c r="GT1360" s="1"/>
      <c r="GU1360" s="1"/>
      <c r="GV1360" s="1"/>
      <c r="GW1360" s="1"/>
      <c r="GX1360" s="1"/>
      <c r="GY1360" s="1"/>
      <c r="GZ1360" s="1"/>
      <c r="HA1360" s="1"/>
      <c r="HB1360" s="1"/>
      <c r="HC1360" s="1"/>
      <c r="HD1360" s="1"/>
      <c r="HE1360" s="1"/>
      <c r="HF1360" s="1"/>
      <c r="HG1360" s="1"/>
      <c r="HH1360" s="1"/>
    </row>
    <row r="1361" spans="1:216" x14ac:dyDescent="0.3">
      <c r="A1361" s="3"/>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c r="FT1361" s="1"/>
      <c r="FU1361" s="1"/>
      <c r="FV1361" s="1"/>
      <c r="FW1361" s="1"/>
      <c r="FX1361" s="1"/>
      <c r="FY1361" s="1"/>
      <c r="FZ1361" s="1"/>
      <c r="GA1361" s="1"/>
      <c r="GB1361" s="1"/>
      <c r="GC1361" s="1"/>
      <c r="GD1361" s="1"/>
      <c r="GE1361" s="1"/>
      <c r="GF1361" s="1"/>
      <c r="GG1361" s="1"/>
      <c r="GH1361" s="1"/>
      <c r="GI1361" s="1"/>
      <c r="GJ1361" s="1"/>
      <c r="GK1361" s="1"/>
      <c r="GL1361" s="1"/>
      <c r="GM1361" s="1"/>
      <c r="GN1361" s="1"/>
      <c r="GO1361" s="1"/>
      <c r="GP1361" s="1"/>
      <c r="GQ1361" s="1"/>
      <c r="GR1361" s="1"/>
      <c r="GS1361" s="1"/>
      <c r="GT1361" s="1"/>
      <c r="GU1361" s="1"/>
      <c r="GV1361" s="1"/>
      <c r="GW1361" s="1"/>
      <c r="GX1361" s="1"/>
      <c r="GY1361" s="1"/>
      <c r="GZ1361" s="1"/>
      <c r="HA1361" s="1"/>
      <c r="HB1361" s="1"/>
      <c r="HC1361" s="1"/>
      <c r="HD1361" s="1"/>
      <c r="HE1361" s="1"/>
      <c r="HF1361" s="1"/>
      <c r="HG1361" s="1"/>
      <c r="HH1361" s="1"/>
    </row>
    <row r="1362" spans="1:216" x14ac:dyDescent="0.3">
      <c r="A1362" s="3"/>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c r="FT1362" s="1"/>
      <c r="FU1362" s="1"/>
      <c r="FV1362" s="1"/>
      <c r="FW1362" s="1"/>
      <c r="FX1362" s="1"/>
      <c r="FY1362" s="1"/>
      <c r="FZ1362" s="1"/>
      <c r="GA1362" s="1"/>
      <c r="GB1362" s="1"/>
      <c r="GC1362" s="1"/>
      <c r="GD1362" s="1"/>
      <c r="GE1362" s="1"/>
      <c r="GF1362" s="1"/>
      <c r="GG1362" s="1"/>
      <c r="GH1362" s="1"/>
      <c r="GI1362" s="1"/>
      <c r="GJ1362" s="1"/>
      <c r="GK1362" s="1"/>
      <c r="GL1362" s="1"/>
      <c r="GM1362" s="1"/>
      <c r="GN1362" s="1"/>
      <c r="GO1362" s="1"/>
      <c r="GP1362" s="1"/>
      <c r="GQ1362" s="1"/>
      <c r="GR1362" s="1"/>
      <c r="GS1362" s="1"/>
      <c r="GT1362" s="1"/>
      <c r="GU1362" s="1"/>
      <c r="GV1362" s="1"/>
      <c r="GW1362" s="1"/>
      <c r="GX1362" s="1"/>
      <c r="GY1362" s="1"/>
      <c r="GZ1362" s="1"/>
      <c r="HA1362" s="1"/>
      <c r="HB1362" s="1"/>
      <c r="HC1362" s="1"/>
      <c r="HD1362" s="1"/>
      <c r="HE1362" s="1"/>
      <c r="HF1362" s="1"/>
      <c r="HG1362" s="1"/>
      <c r="HH1362" s="1"/>
    </row>
    <row r="1363" spans="1:216" x14ac:dyDescent="0.3">
      <c r="A1363" s="3"/>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c r="FT1363" s="1"/>
      <c r="FU1363" s="1"/>
      <c r="FV1363" s="1"/>
      <c r="FW1363" s="1"/>
      <c r="FX1363" s="1"/>
      <c r="FY1363" s="1"/>
      <c r="FZ1363" s="1"/>
      <c r="GA1363" s="1"/>
      <c r="GB1363" s="1"/>
      <c r="GC1363" s="1"/>
      <c r="GD1363" s="1"/>
      <c r="GE1363" s="1"/>
      <c r="GF1363" s="1"/>
      <c r="GG1363" s="1"/>
      <c r="GH1363" s="1"/>
      <c r="GI1363" s="1"/>
      <c r="GJ1363" s="1"/>
      <c r="GK1363" s="1"/>
      <c r="GL1363" s="1"/>
      <c r="GM1363" s="1"/>
      <c r="GN1363" s="1"/>
      <c r="GO1363" s="1"/>
      <c r="GP1363" s="1"/>
      <c r="GQ1363" s="1"/>
      <c r="GR1363" s="1"/>
      <c r="GS1363" s="1"/>
      <c r="GT1363" s="1"/>
      <c r="GU1363" s="1"/>
      <c r="GV1363" s="1"/>
      <c r="GW1363" s="1"/>
      <c r="GX1363" s="1"/>
      <c r="GY1363" s="1"/>
      <c r="GZ1363" s="1"/>
      <c r="HA1363" s="1"/>
      <c r="HB1363" s="1"/>
      <c r="HC1363" s="1"/>
      <c r="HD1363" s="1"/>
      <c r="HE1363" s="1"/>
      <c r="HF1363" s="1"/>
      <c r="HG1363" s="1"/>
      <c r="HH1363" s="1"/>
    </row>
    <row r="1364" spans="1:216" x14ac:dyDescent="0.3">
      <c r="A1364" s="3"/>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c r="FT1364" s="1"/>
      <c r="FU1364" s="1"/>
      <c r="FV1364" s="1"/>
      <c r="FW1364" s="1"/>
      <c r="FX1364" s="1"/>
      <c r="FY1364" s="1"/>
      <c r="FZ1364" s="1"/>
      <c r="GA1364" s="1"/>
      <c r="GB1364" s="1"/>
      <c r="GC1364" s="1"/>
      <c r="GD1364" s="1"/>
      <c r="GE1364" s="1"/>
      <c r="GF1364" s="1"/>
      <c r="GG1364" s="1"/>
      <c r="GH1364" s="1"/>
      <c r="GI1364" s="1"/>
      <c r="GJ1364" s="1"/>
      <c r="GK1364" s="1"/>
      <c r="GL1364" s="1"/>
      <c r="GM1364" s="1"/>
      <c r="GN1364" s="1"/>
      <c r="GO1364" s="1"/>
      <c r="GP1364" s="1"/>
      <c r="GQ1364" s="1"/>
      <c r="GR1364" s="1"/>
      <c r="GS1364" s="1"/>
      <c r="GT1364" s="1"/>
      <c r="GU1364" s="1"/>
      <c r="GV1364" s="1"/>
      <c r="GW1364" s="1"/>
      <c r="GX1364" s="1"/>
      <c r="GY1364" s="1"/>
      <c r="GZ1364" s="1"/>
      <c r="HA1364" s="1"/>
      <c r="HB1364" s="1"/>
      <c r="HC1364" s="1"/>
      <c r="HD1364" s="1"/>
      <c r="HE1364" s="1"/>
      <c r="HF1364" s="1"/>
      <c r="HG1364" s="1"/>
      <c r="HH1364" s="1"/>
    </row>
    <row r="1365" spans="1:216" x14ac:dyDescent="0.3">
      <c r="A1365" s="3"/>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c r="FT1365" s="1"/>
      <c r="FU1365" s="1"/>
      <c r="FV1365" s="1"/>
      <c r="FW1365" s="1"/>
      <c r="FX1365" s="1"/>
      <c r="FY1365" s="1"/>
      <c r="FZ1365" s="1"/>
      <c r="GA1365" s="1"/>
      <c r="GB1365" s="1"/>
      <c r="GC1365" s="1"/>
      <c r="GD1365" s="1"/>
      <c r="GE1365" s="1"/>
      <c r="GF1365" s="1"/>
      <c r="GG1365" s="1"/>
      <c r="GH1365" s="1"/>
      <c r="GI1365" s="1"/>
      <c r="GJ1365" s="1"/>
      <c r="GK1365" s="1"/>
      <c r="GL1365" s="1"/>
      <c r="GM1365" s="1"/>
      <c r="GN1365" s="1"/>
      <c r="GO1365" s="1"/>
      <c r="GP1365" s="1"/>
      <c r="GQ1365" s="1"/>
      <c r="GR1365" s="1"/>
      <c r="GS1365" s="1"/>
      <c r="GT1365" s="1"/>
      <c r="GU1365" s="1"/>
      <c r="GV1365" s="1"/>
      <c r="GW1365" s="1"/>
      <c r="GX1365" s="1"/>
      <c r="GY1365" s="1"/>
      <c r="GZ1365" s="1"/>
      <c r="HA1365" s="1"/>
      <c r="HB1365" s="1"/>
      <c r="HC1365" s="1"/>
      <c r="HD1365" s="1"/>
      <c r="HE1365" s="1"/>
      <c r="HF1365" s="1"/>
      <c r="HG1365" s="1"/>
      <c r="HH1365" s="1"/>
    </row>
    <row r="1366" spans="1:216" x14ac:dyDescent="0.3">
      <c r="A1366" s="3"/>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1"/>
      <c r="GD1366" s="1"/>
      <c r="GE1366" s="1"/>
      <c r="GF1366" s="1"/>
      <c r="GG1366" s="1"/>
      <c r="GH1366" s="1"/>
      <c r="GI1366" s="1"/>
      <c r="GJ1366" s="1"/>
      <c r="GK1366" s="1"/>
      <c r="GL1366" s="1"/>
      <c r="GM1366" s="1"/>
      <c r="GN1366" s="1"/>
      <c r="GO1366" s="1"/>
      <c r="GP1366" s="1"/>
      <c r="GQ1366" s="1"/>
      <c r="GR1366" s="1"/>
      <c r="GS1366" s="1"/>
      <c r="GT1366" s="1"/>
      <c r="GU1366" s="1"/>
      <c r="GV1366" s="1"/>
      <c r="GW1366" s="1"/>
      <c r="GX1366" s="1"/>
      <c r="GY1366" s="1"/>
      <c r="GZ1366" s="1"/>
      <c r="HA1366" s="1"/>
      <c r="HB1366" s="1"/>
      <c r="HC1366" s="1"/>
      <c r="HD1366" s="1"/>
      <c r="HE1366" s="1"/>
      <c r="HF1366" s="1"/>
      <c r="HG1366" s="1"/>
      <c r="HH1366" s="1"/>
    </row>
    <row r="1367" spans="1:216" x14ac:dyDescent="0.3">
      <c r="A1367" s="3"/>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1"/>
      <c r="GD1367" s="1"/>
      <c r="GE1367" s="1"/>
      <c r="GF1367" s="1"/>
      <c r="GG1367" s="1"/>
      <c r="GH1367" s="1"/>
      <c r="GI1367" s="1"/>
      <c r="GJ1367" s="1"/>
      <c r="GK1367" s="1"/>
      <c r="GL1367" s="1"/>
      <c r="GM1367" s="1"/>
      <c r="GN1367" s="1"/>
      <c r="GO1367" s="1"/>
      <c r="GP1367" s="1"/>
      <c r="GQ1367" s="1"/>
      <c r="GR1367" s="1"/>
      <c r="GS1367" s="1"/>
      <c r="GT1367" s="1"/>
      <c r="GU1367" s="1"/>
      <c r="GV1367" s="1"/>
      <c r="GW1367" s="1"/>
      <c r="GX1367" s="1"/>
      <c r="GY1367" s="1"/>
      <c r="GZ1367" s="1"/>
      <c r="HA1367" s="1"/>
      <c r="HB1367" s="1"/>
      <c r="HC1367" s="1"/>
      <c r="HD1367" s="1"/>
      <c r="HE1367" s="1"/>
      <c r="HF1367" s="1"/>
      <c r="HG1367" s="1"/>
      <c r="HH1367" s="1"/>
    </row>
    <row r="1368" spans="1:216" x14ac:dyDescent="0.3">
      <c r="A1368" s="3"/>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c r="FT1368" s="1"/>
      <c r="FU1368" s="1"/>
      <c r="FV1368" s="1"/>
      <c r="FW1368" s="1"/>
      <c r="FX1368" s="1"/>
      <c r="FY1368" s="1"/>
      <c r="FZ1368" s="1"/>
      <c r="GA1368" s="1"/>
      <c r="GB1368" s="1"/>
      <c r="GC1368" s="1"/>
      <c r="GD1368" s="1"/>
      <c r="GE1368" s="1"/>
      <c r="GF1368" s="1"/>
      <c r="GG1368" s="1"/>
      <c r="GH1368" s="1"/>
      <c r="GI1368" s="1"/>
      <c r="GJ1368" s="1"/>
      <c r="GK1368" s="1"/>
      <c r="GL1368" s="1"/>
      <c r="GM1368" s="1"/>
      <c r="GN1368" s="1"/>
      <c r="GO1368" s="1"/>
      <c r="GP1368" s="1"/>
      <c r="GQ1368" s="1"/>
      <c r="GR1368" s="1"/>
      <c r="GS1368" s="1"/>
      <c r="GT1368" s="1"/>
      <c r="GU1368" s="1"/>
      <c r="GV1368" s="1"/>
      <c r="GW1368" s="1"/>
      <c r="GX1368" s="1"/>
      <c r="GY1368" s="1"/>
      <c r="GZ1368" s="1"/>
      <c r="HA1368" s="1"/>
      <c r="HB1368" s="1"/>
      <c r="HC1368" s="1"/>
      <c r="HD1368" s="1"/>
      <c r="HE1368" s="1"/>
      <c r="HF1368" s="1"/>
      <c r="HG1368" s="1"/>
      <c r="HH1368" s="1"/>
    </row>
    <row r="1369" spans="1:216" x14ac:dyDescent="0.3">
      <c r="A1369" s="3"/>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c r="FT1369" s="1"/>
      <c r="FU1369" s="1"/>
      <c r="FV1369" s="1"/>
      <c r="FW1369" s="1"/>
      <c r="FX1369" s="1"/>
      <c r="FY1369" s="1"/>
      <c r="FZ1369" s="1"/>
      <c r="GA1369" s="1"/>
      <c r="GB1369" s="1"/>
      <c r="GC1369" s="1"/>
      <c r="GD1369" s="1"/>
      <c r="GE1369" s="1"/>
      <c r="GF1369" s="1"/>
      <c r="GG1369" s="1"/>
      <c r="GH1369" s="1"/>
      <c r="GI1369" s="1"/>
      <c r="GJ1369" s="1"/>
      <c r="GK1369" s="1"/>
      <c r="GL1369" s="1"/>
      <c r="GM1369" s="1"/>
      <c r="GN1369" s="1"/>
      <c r="GO1369" s="1"/>
      <c r="GP1369" s="1"/>
      <c r="GQ1369" s="1"/>
      <c r="GR1369" s="1"/>
      <c r="GS1369" s="1"/>
      <c r="GT1369" s="1"/>
      <c r="GU1369" s="1"/>
      <c r="GV1369" s="1"/>
      <c r="GW1369" s="1"/>
      <c r="GX1369" s="1"/>
      <c r="GY1369" s="1"/>
      <c r="GZ1369" s="1"/>
      <c r="HA1369" s="1"/>
      <c r="HB1369" s="1"/>
      <c r="HC1369" s="1"/>
      <c r="HD1369" s="1"/>
      <c r="HE1369" s="1"/>
      <c r="HF1369" s="1"/>
      <c r="HG1369" s="1"/>
      <c r="HH1369" s="1"/>
    </row>
    <row r="1370" spans="1:216" x14ac:dyDescent="0.3">
      <c r="A1370" s="3"/>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1"/>
      <c r="GD1370" s="1"/>
      <c r="GE1370" s="1"/>
      <c r="GF1370" s="1"/>
      <c r="GG1370" s="1"/>
      <c r="GH1370" s="1"/>
      <c r="GI1370" s="1"/>
      <c r="GJ1370" s="1"/>
      <c r="GK1370" s="1"/>
      <c r="GL1370" s="1"/>
      <c r="GM1370" s="1"/>
      <c r="GN1370" s="1"/>
      <c r="GO1370" s="1"/>
      <c r="GP1370" s="1"/>
      <c r="GQ1370" s="1"/>
      <c r="GR1370" s="1"/>
      <c r="GS1370" s="1"/>
      <c r="GT1370" s="1"/>
      <c r="GU1370" s="1"/>
      <c r="GV1370" s="1"/>
      <c r="GW1370" s="1"/>
      <c r="GX1370" s="1"/>
      <c r="GY1370" s="1"/>
      <c r="GZ1370" s="1"/>
      <c r="HA1370" s="1"/>
      <c r="HB1370" s="1"/>
      <c r="HC1370" s="1"/>
      <c r="HD1370" s="1"/>
      <c r="HE1370" s="1"/>
      <c r="HF1370" s="1"/>
      <c r="HG1370" s="1"/>
      <c r="HH1370" s="1"/>
    </row>
    <row r="1371" spans="1:216" x14ac:dyDescent="0.3">
      <c r="A1371" s="3"/>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1"/>
      <c r="GD1371" s="1"/>
      <c r="GE1371" s="1"/>
      <c r="GF1371" s="1"/>
      <c r="GG1371" s="1"/>
      <c r="GH1371" s="1"/>
      <c r="GI1371" s="1"/>
      <c r="GJ1371" s="1"/>
      <c r="GK1371" s="1"/>
      <c r="GL1371" s="1"/>
      <c r="GM1371" s="1"/>
      <c r="GN1371" s="1"/>
      <c r="GO1371" s="1"/>
      <c r="GP1371" s="1"/>
      <c r="GQ1371" s="1"/>
      <c r="GR1371" s="1"/>
      <c r="GS1371" s="1"/>
      <c r="GT1371" s="1"/>
      <c r="GU1371" s="1"/>
      <c r="GV1371" s="1"/>
      <c r="GW1371" s="1"/>
      <c r="GX1371" s="1"/>
      <c r="GY1371" s="1"/>
      <c r="GZ1371" s="1"/>
      <c r="HA1371" s="1"/>
      <c r="HB1371" s="1"/>
      <c r="HC1371" s="1"/>
      <c r="HD1371" s="1"/>
      <c r="HE1371" s="1"/>
      <c r="HF1371" s="1"/>
      <c r="HG1371" s="1"/>
      <c r="HH1371" s="1"/>
    </row>
    <row r="1372" spans="1:216" x14ac:dyDescent="0.3">
      <c r="A1372" s="3"/>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c r="FT1372" s="1"/>
      <c r="FU1372" s="1"/>
      <c r="FV1372" s="1"/>
      <c r="FW1372" s="1"/>
      <c r="FX1372" s="1"/>
      <c r="FY1372" s="1"/>
      <c r="FZ1372" s="1"/>
      <c r="GA1372" s="1"/>
      <c r="GB1372" s="1"/>
      <c r="GC1372" s="1"/>
      <c r="GD1372" s="1"/>
      <c r="GE1372" s="1"/>
      <c r="GF1372" s="1"/>
      <c r="GG1372" s="1"/>
      <c r="GH1372" s="1"/>
      <c r="GI1372" s="1"/>
      <c r="GJ1372" s="1"/>
      <c r="GK1372" s="1"/>
      <c r="GL1372" s="1"/>
      <c r="GM1372" s="1"/>
      <c r="GN1372" s="1"/>
      <c r="GO1372" s="1"/>
      <c r="GP1372" s="1"/>
      <c r="GQ1372" s="1"/>
      <c r="GR1372" s="1"/>
      <c r="GS1372" s="1"/>
      <c r="GT1372" s="1"/>
      <c r="GU1372" s="1"/>
      <c r="GV1372" s="1"/>
      <c r="GW1372" s="1"/>
      <c r="GX1372" s="1"/>
      <c r="GY1372" s="1"/>
      <c r="GZ1372" s="1"/>
      <c r="HA1372" s="1"/>
      <c r="HB1372" s="1"/>
      <c r="HC1372" s="1"/>
      <c r="HD1372" s="1"/>
      <c r="HE1372" s="1"/>
      <c r="HF1372" s="1"/>
      <c r="HG1372" s="1"/>
      <c r="HH1372" s="1"/>
    </row>
    <row r="1373" spans="1:216" x14ac:dyDescent="0.3">
      <c r="A1373" s="3"/>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c r="FT1373" s="1"/>
      <c r="FU1373" s="1"/>
      <c r="FV1373" s="1"/>
      <c r="FW1373" s="1"/>
      <c r="FX1373" s="1"/>
      <c r="FY1373" s="1"/>
      <c r="FZ1373" s="1"/>
      <c r="GA1373" s="1"/>
      <c r="GB1373" s="1"/>
      <c r="GC1373" s="1"/>
      <c r="GD1373" s="1"/>
      <c r="GE1373" s="1"/>
      <c r="GF1373" s="1"/>
      <c r="GG1373" s="1"/>
      <c r="GH1373" s="1"/>
      <c r="GI1373" s="1"/>
      <c r="GJ1373" s="1"/>
      <c r="GK1373" s="1"/>
      <c r="GL1373" s="1"/>
      <c r="GM1373" s="1"/>
      <c r="GN1373" s="1"/>
      <c r="GO1373" s="1"/>
      <c r="GP1373" s="1"/>
      <c r="GQ1373" s="1"/>
      <c r="GR1373" s="1"/>
      <c r="GS1373" s="1"/>
      <c r="GT1373" s="1"/>
      <c r="GU1373" s="1"/>
      <c r="GV1373" s="1"/>
      <c r="GW1373" s="1"/>
      <c r="GX1373" s="1"/>
      <c r="GY1373" s="1"/>
      <c r="GZ1373" s="1"/>
      <c r="HA1373" s="1"/>
      <c r="HB1373" s="1"/>
      <c r="HC1373" s="1"/>
      <c r="HD1373" s="1"/>
      <c r="HE1373" s="1"/>
      <c r="HF1373" s="1"/>
      <c r="HG1373" s="1"/>
      <c r="HH1373" s="1"/>
    </row>
    <row r="1374" spans="1:216" x14ac:dyDescent="0.3">
      <c r="A1374" s="3"/>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c r="FT1374" s="1"/>
      <c r="FU1374" s="1"/>
      <c r="FV1374" s="1"/>
      <c r="FW1374" s="1"/>
      <c r="FX1374" s="1"/>
      <c r="FY1374" s="1"/>
      <c r="FZ1374" s="1"/>
      <c r="GA1374" s="1"/>
      <c r="GB1374" s="1"/>
      <c r="GC1374" s="1"/>
      <c r="GD1374" s="1"/>
      <c r="GE1374" s="1"/>
      <c r="GF1374" s="1"/>
      <c r="GG1374" s="1"/>
      <c r="GH1374" s="1"/>
      <c r="GI1374" s="1"/>
      <c r="GJ1374" s="1"/>
      <c r="GK1374" s="1"/>
      <c r="GL1374" s="1"/>
      <c r="GM1374" s="1"/>
      <c r="GN1374" s="1"/>
      <c r="GO1374" s="1"/>
      <c r="GP1374" s="1"/>
      <c r="GQ1374" s="1"/>
      <c r="GR1374" s="1"/>
      <c r="GS1374" s="1"/>
      <c r="GT1374" s="1"/>
      <c r="GU1374" s="1"/>
      <c r="GV1374" s="1"/>
      <c r="GW1374" s="1"/>
      <c r="GX1374" s="1"/>
      <c r="GY1374" s="1"/>
      <c r="GZ1374" s="1"/>
      <c r="HA1374" s="1"/>
      <c r="HB1374" s="1"/>
      <c r="HC1374" s="1"/>
      <c r="HD1374" s="1"/>
      <c r="HE1374" s="1"/>
      <c r="HF1374" s="1"/>
      <c r="HG1374" s="1"/>
      <c r="HH1374" s="1"/>
    </row>
    <row r="1375" spans="1:216" x14ac:dyDescent="0.3">
      <c r="A1375" s="3"/>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c r="FT1375" s="1"/>
      <c r="FU1375" s="1"/>
      <c r="FV1375" s="1"/>
      <c r="FW1375" s="1"/>
      <c r="FX1375" s="1"/>
      <c r="FY1375" s="1"/>
      <c r="FZ1375" s="1"/>
      <c r="GA1375" s="1"/>
      <c r="GB1375" s="1"/>
      <c r="GC1375" s="1"/>
      <c r="GD1375" s="1"/>
      <c r="GE1375" s="1"/>
      <c r="GF1375" s="1"/>
      <c r="GG1375" s="1"/>
      <c r="GH1375" s="1"/>
      <c r="GI1375" s="1"/>
      <c r="GJ1375" s="1"/>
      <c r="GK1375" s="1"/>
      <c r="GL1375" s="1"/>
      <c r="GM1375" s="1"/>
      <c r="GN1375" s="1"/>
      <c r="GO1375" s="1"/>
      <c r="GP1375" s="1"/>
      <c r="GQ1375" s="1"/>
      <c r="GR1375" s="1"/>
      <c r="GS1375" s="1"/>
      <c r="GT1375" s="1"/>
      <c r="GU1375" s="1"/>
      <c r="GV1375" s="1"/>
      <c r="GW1375" s="1"/>
      <c r="GX1375" s="1"/>
      <c r="GY1375" s="1"/>
      <c r="GZ1375" s="1"/>
      <c r="HA1375" s="1"/>
      <c r="HB1375" s="1"/>
      <c r="HC1375" s="1"/>
      <c r="HD1375" s="1"/>
      <c r="HE1375" s="1"/>
      <c r="HF1375" s="1"/>
      <c r="HG1375" s="1"/>
      <c r="HH1375" s="1"/>
    </row>
    <row r="1376" spans="1:216" x14ac:dyDescent="0.3">
      <c r="A1376" s="3"/>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1"/>
      <c r="GD1376" s="1"/>
      <c r="GE1376" s="1"/>
      <c r="GF1376" s="1"/>
      <c r="GG1376" s="1"/>
      <c r="GH1376" s="1"/>
      <c r="GI1376" s="1"/>
      <c r="GJ1376" s="1"/>
      <c r="GK1376" s="1"/>
      <c r="GL1376" s="1"/>
      <c r="GM1376" s="1"/>
      <c r="GN1376" s="1"/>
      <c r="GO1376" s="1"/>
      <c r="GP1376" s="1"/>
      <c r="GQ1376" s="1"/>
      <c r="GR1376" s="1"/>
      <c r="GS1376" s="1"/>
      <c r="GT1376" s="1"/>
      <c r="GU1376" s="1"/>
      <c r="GV1376" s="1"/>
      <c r="GW1376" s="1"/>
      <c r="GX1376" s="1"/>
      <c r="GY1376" s="1"/>
      <c r="GZ1376" s="1"/>
      <c r="HA1376" s="1"/>
      <c r="HB1376" s="1"/>
      <c r="HC1376" s="1"/>
      <c r="HD1376" s="1"/>
      <c r="HE1376" s="1"/>
      <c r="HF1376" s="1"/>
      <c r="HG1376" s="1"/>
      <c r="HH1376" s="1"/>
    </row>
    <row r="1377" spans="1:216" x14ac:dyDescent="0.3">
      <c r="A1377" s="3"/>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c r="FT1377" s="1"/>
      <c r="FU1377" s="1"/>
      <c r="FV1377" s="1"/>
      <c r="FW1377" s="1"/>
      <c r="FX1377" s="1"/>
      <c r="FY1377" s="1"/>
      <c r="FZ1377" s="1"/>
      <c r="GA1377" s="1"/>
      <c r="GB1377" s="1"/>
      <c r="GC1377" s="1"/>
      <c r="GD1377" s="1"/>
      <c r="GE1377" s="1"/>
      <c r="GF1377" s="1"/>
      <c r="GG1377" s="1"/>
      <c r="GH1377" s="1"/>
      <c r="GI1377" s="1"/>
      <c r="GJ1377" s="1"/>
      <c r="GK1377" s="1"/>
      <c r="GL1377" s="1"/>
      <c r="GM1377" s="1"/>
      <c r="GN1377" s="1"/>
      <c r="GO1377" s="1"/>
      <c r="GP1377" s="1"/>
      <c r="GQ1377" s="1"/>
      <c r="GR1377" s="1"/>
      <c r="GS1377" s="1"/>
      <c r="GT1377" s="1"/>
      <c r="GU1377" s="1"/>
      <c r="GV1377" s="1"/>
      <c r="GW1377" s="1"/>
      <c r="GX1377" s="1"/>
      <c r="GY1377" s="1"/>
      <c r="GZ1377" s="1"/>
      <c r="HA1377" s="1"/>
      <c r="HB1377" s="1"/>
      <c r="HC1377" s="1"/>
      <c r="HD1377" s="1"/>
      <c r="HE1377" s="1"/>
      <c r="HF1377" s="1"/>
      <c r="HG1377" s="1"/>
      <c r="HH1377" s="1"/>
    </row>
    <row r="1378" spans="1:216" x14ac:dyDescent="0.3">
      <c r="A1378" s="3"/>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c r="FT1378" s="1"/>
      <c r="FU1378" s="1"/>
      <c r="FV1378" s="1"/>
      <c r="FW1378" s="1"/>
      <c r="FX1378" s="1"/>
      <c r="FY1378" s="1"/>
      <c r="FZ1378" s="1"/>
      <c r="GA1378" s="1"/>
      <c r="GB1378" s="1"/>
      <c r="GC1378" s="1"/>
      <c r="GD1378" s="1"/>
      <c r="GE1378" s="1"/>
      <c r="GF1378" s="1"/>
      <c r="GG1378" s="1"/>
      <c r="GH1378" s="1"/>
      <c r="GI1378" s="1"/>
      <c r="GJ1378" s="1"/>
      <c r="GK1378" s="1"/>
      <c r="GL1378" s="1"/>
      <c r="GM1378" s="1"/>
      <c r="GN1378" s="1"/>
      <c r="GO1378" s="1"/>
      <c r="GP1378" s="1"/>
      <c r="GQ1378" s="1"/>
      <c r="GR1378" s="1"/>
      <c r="GS1378" s="1"/>
      <c r="GT1378" s="1"/>
      <c r="GU1378" s="1"/>
      <c r="GV1378" s="1"/>
      <c r="GW1378" s="1"/>
      <c r="GX1378" s="1"/>
      <c r="GY1378" s="1"/>
      <c r="GZ1378" s="1"/>
      <c r="HA1378" s="1"/>
      <c r="HB1378" s="1"/>
      <c r="HC1378" s="1"/>
      <c r="HD1378" s="1"/>
      <c r="HE1378" s="1"/>
      <c r="HF1378" s="1"/>
      <c r="HG1378" s="1"/>
      <c r="HH1378" s="1"/>
    </row>
    <row r="1379" spans="1:216" x14ac:dyDescent="0.3">
      <c r="A1379" s="3"/>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c r="FT1379" s="1"/>
      <c r="FU1379" s="1"/>
      <c r="FV1379" s="1"/>
      <c r="FW1379" s="1"/>
      <c r="FX1379" s="1"/>
      <c r="FY1379" s="1"/>
      <c r="FZ1379" s="1"/>
      <c r="GA1379" s="1"/>
      <c r="GB1379" s="1"/>
      <c r="GC1379" s="1"/>
      <c r="GD1379" s="1"/>
      <c r="GE1379" s="1"/>
      <c r="GF1379" s="1"/>
      <c r="GG1379" s="1"/>
      <c r="GH1379" s="1"/>
      <c r="GI1379" s="1"/>
      <c r="GJ1379" s="1"/>
      <c r="GK1379" s="1"/>
      <c r="GL1379" s="1"/>
      <c r="GM1379" s="1"/>
      <c r="GN1379" s="1"/>
      <c r="GO1379" s="1"/>
      <c r="GP1379" s="1"/>
      <c r="GQ1379" s="1"/>
      <c r="GR1379" s="1"/>
      <c r="GS1379" s="1"/>
      <c r="GT1379" s="1"/>
      <c r="GU1379" s="1"/>
      <c r="GV1379" s="1"/>
      <c r="GW1379" s="1"/>
      <c r="GX1379" s="1"/>
      <c r="GY1379" s="1"/>
      <c r="GZ1379" s="1"/>
      <c r="HA1379" s="1"/>
      <c r="HB1379" s="1"/>
      <c r="HC1379" s="1"/>
      <c r="HD1379" s="1"/>
      <c r="HE1379" s="1"/>
      <c r="HF1379" s="1"/>
      <c r="HG1379" s="1"/>
      <c r="HH1379" s="1"/>
    </row>
    <row r="1380" spans="1:216" x14ac:dyDescent="0.3">
      <c r="A1380" s="3"/>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1"/>
      <c r="GD1380" s="1"/>
      <c r="GE1380" s="1"/>
      <c r="GF1380" s="1"/>
      <c r="GG1380" s="1"/>
      <c r="GH1380" s="1"/>
      <c r="GI1380" s="1"/>
      <c r="GJ1380" s="1"/>
      <c r="GK1380" s="1"/>
      <c r="GL1380" s="1"/>
      <c r="GM1380" s="1"/>
      <c r="GN1380" s="1"/>
      <c r="GO1380" s="1"/>
      <c r="GP1380" s="1"/>
      <c r="GQ1380" s="1"/>
      <c r="GR1380" s="1"/>
      <c r="GS1380" s="1"/>
      <c r="GT1380" s="1"/>
      <c r="GU1380" s="1"/>
      <c r="GV1380" s="1"/>
      <c r="GW1380" s="1"/>
      <c r="GX1380" s="1"/>
      <c r="GY1380" s="1"/>
      <c r="GZ1380" s="1"/>
      <c r="HA1380" s="1"/>
      <c r="HB1380" s="1"/>
      <c r="HC1380" s="1"/>
      <c r="HD1380" s="1"/>
      <c r="HE1380" s="1"/>
      <c r="HF1380" s="1"/>
      <c r="HG1380" s="1"/>
      <c r="HH1380" s="1"/>
    </row>
    <row r="1381" spans="1:216" x14ac:dyDescent="0.3">
      <c r="A1381" s="3"/>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c r="FT1381" s="1"/>
      <c r="FU1381" s="1"/>
      <c r="FV1381" s="1"/>
      <c r="FW1381" s="1"/>
      <c r="FX1381" s="1"/>
      <c r="FY1381" s="1"/>
      <c r="FZ1381" s="1"/>
      <c r="GA1381" s="1"/>
      <c r="GB1381" s="1"/>
      <c r="GC1381" s="1"/>
      <c r="GD1381" s="1"/>
      <c r="GE1381" s="1"/>
      <c r="GF1381" s="1"/>
      <c r="GG1381" s="1"/>
      <c r="GH1381" s="1"/>
      <c r="GI1381" s="1"/>
      <c r="GJ1381" s="1"/>
      <c r="GK1381" s="1"/>
      <c r="GL1381" s="1"/>
      <c r="GM1381" s="1"/>
      <c r="GN1381" s="1"/>
      <c r="GO1381" s="1"/>
      <c r="GP1381" s="1"/>
      <c r="GQ1381" s="1"/>
      <c r="GR1381" s="1"/>
      <c r="GS1381" s="1"/>
      <c r="GT1381" s="1"/>
      <c r="GU1381" s="1"/>
      <c r="GV1381" s="1"/>
      <c r="GW1381" s="1"/>
      <c r="GX1381" s="1"/>
      <c r="GY1381" s="1"/>
      <c r="GZ1381" s="1"/>
      <c r="HA1381" s="1"/>
      <c r="HB1381" s="1"/>
      <c r="HC1381" s="1"/>
      <c r="HD1381" s="1"/>
      <c r="HE1381" s="1"/>
      <c r="HF1381" s="1"/>
      <c r="HG1381" s="1"/>
      <c r="HH1381" s="1"/>
    </row>
    <row r="1382" spans="1:216" x14ac:dyDescent="0.3">
      <c r="A1382" s="3"/>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c r="FT1382" s="1"/>
      <c r="FU1382" s="1"/>
      <c r="FV1382" s="1"/>
      <c r="FW1382" s="1"/>
      <c r="FX1382" s="1"/>
      <c r="FY1382" s="1"/>
      <c r="FZ1382" s="1"/>
      <c r="GA1382" s="1"/>
      <c r="GB1382" s="1"/>
      <c r="GC1382" s="1"/>
      <c r="GD1382" s="1"/>
      <c r="GE1382" s="1"/>
      <c r="GF1382" s="1"/>
      <c r="GG1382" s="1"/>
      <c r="GH1382" s="1"/>
      <c r="GI1382" s="1"/>
      <c r="GJ1382" s="1"/>
      <c r="GK1382" s="1"/>
      <c r="GL1382" s="1"/>
      <c r="GM1382" s="1"/>
      <c r="GN1382" s="1"/>
      <c r="GO1382" s="1"/>
      <c r="GP1382" s="1"/>
      <c r="GQ1382" s="1"/>
      <c r="GR1382" s="1"/>
      <c r="GS1382" s="1"/>
      <c r="GT1382" s="1"/>
      <c r="GU1382" s="1"/>
      <c r="GV1382" s="1"/>
      <c r="GW1382" s="1"/>
      <c r="GX1382" s="1"/>
      <c r="GY1382" s="1"/>
      <c r="GZ1382" s="1"/>
      <c r="HA1382" s="1"/>
      <c r="HB1382" s="1"/>
      <c r="HC1382" s="1"/>
      <c r="HD1382" s="1"/>
      <c r="HE1382" s="1"/>
      <c r="HF1382" s="1"/>
      <c r="HG1382" s="1"/>
      <c r="HH1382" s="1"/>
    </row>
    <row r="1383" spans="1:216" x14ac:dyDescent="0.3">
      <c r="A1383" s="3"/>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c r="FT1383" s="1"/>
      <c r="FU1383" s="1"/>
      <c r="FV1383" s="1"/>
      <c r="FW1383" s="1"/>
      <c r="FX1383" s="1"/>
      <c r="FY1383" s="1"/>
      <c r="FZ1383" s="1"/>
      <c r="GA1383" s="1"/>
      <c r="GB1383" s="1"/>
      <c r="GC1383" s="1"/>
      <c r="GD1383" s="1"/>
      <c r="GE1383" s="1"/>
      <c r="GF1383" s="1"/>
      <c r="GG1383" s="1"/>
      <c r="GH1383" s="1"/>
      <c r="GI1383" s="1"/>
      <c r="GJ1383" s="1"/>
      <c r="GK1383" s="1"/>
      <c r="GL1383" s="1"/>
      <c r="GM1383" s="1"/>
      <c r="GN1383" s="1"/>
      <c r="GO1383" s="1"/>
      <c r="GP1383" s="1"/>
      <c r="GQ1383" s="1"/>
      <c r="GR1383" s="1"/>
      <c r="GS1383" s="1"/>
      <c r="GT1383" s="1"/>
      <c r="GU1383" s="1"/>
      <c r="GV1383" s="1"/>
      <c r="GW1383" s="1"/>
      <c r="GX1383" s="1"/>
      <c r="GY1383" s="1"/>
      <c r="GZ1383" s="1"/>
      <c r="HA1383" s="1"/>
      <c r="HB1383" s="1"/>
      <c r="HC1383" s="1"/>
      <c r="HD1383" s="1"/>
      <c r="HE1383" s="1"/>
      <c r="HF1383" s="1"/>
      <c r="HG1383" s="1"/>
      <c r="HH1383" s="1"/>
    </row>
    <row r="1384" spans="1:216" x14ac:dyDescent="0.3">
      <c r="A1384" s="3"/>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c r="FT1384" s="1"/>
      <c r="FU1384" s="1"/>
      <c r="FV1384" s="1"/>
      <c r="FW1384" s="1"/>
      <c r="FX1384" s="1"/>
      <c r="FY1384" s="1"/>
      <c r="FZ1384" s="1"/>
      <c r="GA1384" s="1"/>
      <c r="GB1384" s="1"/>
      <c r="GC1384" s="1"/>
      <c r="GD1384" s="1"/>
      <c r="GE1384" s="1"/>
      <c r="GF1384" s="1"/>
      <c r="GG1384" s="1"/>
      <c r="GH1384" s="1"/>
      <c r="GI1384" s="1"/>
      <c r="GJ1384" s="1"/>
      <c r="GK1384" s="1"/>
      <c r="GL1384" s="1"/>
      <c r="GM1384" s="1"/>
      <c r="GN1384" s="1"/>
      <c r="GO1384" s="1"/>
      <c r="GP1384" s="1"/>
      <c r="GQ1384" s="1"/>
      <c r="GR1384" s="1"/>
      <c r="GS1384" s="1"/>
      <c r="GT1384" s="1"/>
      <c r="GU1384" s="1"/>
      <c r="GV1384" s="1"/>
      <c r="GW1384" s="1"/>
      <c r="GX1384" s="1"/>
      <c r="GY1384" s="1"/>
      <c r="GZ1384" s="1"/>
      <c r="HA1384" s="1"/>
      <c r="HB1384" s="1"/>
      <c r="HC1384" s="1"/>
      <c r="HD1384" s="1"/>
      <c r="HE1384" s="1"/>
      <c r="HF1384" s="1"/>
      <c r="HG1384" s="1"/>
      <c r="HH1384" s="1"/>
    </row>
    <row r="1385" spans="1:216" x14ac:dyDescent="0.3">
      <c r="A1385" s="3"/>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c r="FT1385" s="1"/>
      <c r="FU1385" s="1"/>
      <c r="FV1385" s="1"/>
      <c r="FW1385" s="1"/>
      <c r="FX1385" s="1"/>
      <c r="FY1385" s="1"/>
      <c r="FZ1385" s="1"/>
      <c r="GA1385" s="1"/>
      <c r="GB1385" s="1"/>
      <c r="GC1385" s="1"/>
      <c r="GD1385" s="1"/>
      <c r="GE1385" s="1"/>
      <c r="GF1385" s="1"/>
      <c r="GG1385" s="1"/>
      <c r="GH1385" s="1"/>
      <c r="GI1385" s="1"/>
      <c r="GJ1385" s="1"/>
      <c r="GK1385" s="1"/>
      <c r="GL1385" s="1"/>
      <c r="GM1385" s="1"/>
      <c r="GN1385" s="1"/>
      <c r="GO1385" s="1"/>
      <c r="GP1385" s="1"/>
      <c r="GQ1385" s="1"/>
      <c r="GR1385" s="1"/>
      <c r="GS1385" s="1"/>
      <c r="GT1385" s="1"/>
      <c r="GU1385" s="1"/>
      <c r="GV1385" s="1"/>
      <c r="GW1385" s="1"/>
      <c r="GX1385" s="1"/>
      <c r="GY1385" s="1"/>
      <c r="GZ1385" s="1"/>
      <c r="HA1385" s="1"/>
      <c r="HB1385" s="1"/>
      <c r="HC1385" s="1"/>
      <c r="HD1385" s="1"/>
      <c r="HE1385" s="1"/>
      <c r="HF1385" s="1"/>
      <c r="HG1385" s="1"/>
      <c r="HH1385" s="1"/>
    </row>
    <row r="1386" spans="1:216" x14ac:dyDescent="0.3">
      <c r="A1386" s="3"/>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c r="FT1386" s="1"/>
      <c r="FU1386" s="1"/>
      <c r="FV1386" s="1"/>
      <c r="FW1386" s="1"/>
      <c r="FX1386" s="1"/>
      <c r="FY1386" s="1"/>
      <c r="FZ1386" s="1"/>
      <c r="GA1386" s="1"/>
      <c r="GB1386" s="1"/>
      <c r="GC1386" s="1"/>
      <c r="GD1386" s="1"/>
      <c r="GE1386" s="1"/>
      <c r="GF1386" s="1"/>
      <c r="GG1386" s="1"/>
      <c r="GH1386" s="1"/>
      <c r="GI1386" s="1"/>
      <c r="GJ1386" s="1"/>
      <c r="GK1386" s="1"/>
      <c r="GL1386" s="1"/>
      <c r="GM1386" s="1"/>
      <c r="GN1386" s="1"/>
      <c r="GO1386" s="1"/>
      <c r="GP1386" s="1"/>
      <c r="GQ1386" s="1"/>
      <c r="GR1386" s="1"/>
      <c r="GS1386" s="1"/>
      <c r="GT1386" s="1"/>
      <c r="GU1386" s="1"/>
      <c r="GV1386" s="1"/>
      <c r="GW1386" s="1"/>
      <c r="GX1386" s="1"/>
      <c r="GY1386" s="1"/>
      <c r="GZ1386" s="1"/>
      <c r="HA1386" s="1"/>
      <c r="HB1386" s="1"/>
      <c r="HC1386" s="1"/>
      <c r="HD1386" s="1"/>
      <c r="HE1386" s="1"/>
      <c r="HF1386" s="1"/>
      <c r="HG1386" s="1"/>
      <c r="HH1386" s="1"/>
    </row>
    <row r="1387" spans="1:216" x14ac:dyDescent="0.3">
      <c r="A1387" s="3"/>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c r="FT1387" s="1"/>
      <c r="FU1387" s="1"/>
      <c r="FV1387" s="1"/>
      <c r="FW1387" s="1"/>
      <c r="FX1387" s="1"/>
      <c r="FY1387" s="1"/>
      <c r="FZ1387" s="1"/>
      <c r="GA1387" s="1"/>
      <c r="GB1387" s="1"/>
      <c r="GC1387" s="1"/>
      <c r="GD1387" s="1"/>
      <c r="GE1387" s="1"/>
      <c r="GF1387" s="1"/>
      <c r="GG1387" s="1"/>
      <c r="GH1387" s="1"/>
      <c r="GI1387" s="1"/>
      <c r="GJ1387" s="1"/>
      <c r="GK1387" s="1"/>
      <c r="GL1387" s="1"/>
      <c r="GM1387" s="1"/>
      <c r="GN1387" s="1"/>
      <c r="GO1387" s="1"/>
      <c r="GP1387" s="1"/>
      <c r="GQ1387" s="1"/>
      <c r="GR1387" s="1"/>
      <c r="GS1387" s="1"/>
      <c r="GT1387" s="1"/>
      <c r="GU1387" s="1"/>
      <c r="GV1387" s="1"/>
      <c r="GW1387" s="1"/>
      <c r="GX1387" s="1"/>
      <c r="GY1387" s="1"/>
      <c r="GZ1387" s="1"/>
      <c r="HA1387" s="1"/>
      <c r="HB1387" s="1"/>
      <c r="HC1387" s="1"/>
      <c r="HD1387" s="1"/>
      <c r="HE1387" s="1"/>
      <c r="HF1387" s="1"/>
      <c r="HG1387" s="1"/>
      <c r="HH1387" s="1"/>
    </row>
    <row r="1388" spans="1:216" x14ac:dyDescent="0.3">
      <c r="A1388" s="3"/>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c r="FT1388" s="1"/>
      <c r="FU1388" s="1"/>
      <c r="FV1388" s="1"/>
      <c r="FW1388" s="1"/>
      <c r="FX1388" s="1"/>
      <c r="FY1388" s="1"/>
      <c r="FZ1388" s="1"/>
      <c r="GA1388" s="1"/>
      <c r="GB1388" s="1"/>
      <c r="GC1388" s="1"/>
      <c r="GD1388" s="1"/>
      <c r="GE1388" s="1"/>
      <c r="GF1388" s="1"/>
      <c r="GG1388" s="1"/>
      <c r="GH1388" s="1"/>
      <c r="GI1388" s="1"/>
      <c r="GJ1388" s="1"/>
      <c r="GK1388" s="1"/>
      <c r="GL1388" s="1"/>
      <c r="GM1388" s="1"/>
      <c r="GN1388" s="1"/>
      <c r="GO1388" s="1"/>
      <c r="GP1388" s="1"/>
      <c r="GQ1388" s="1"/>
      <c r="GR1388" s="1"/>
      <c r="GS1388" s="1"/>
      <c r="GT1388" s="1"/>
      <c r="GU1388" s="1"/>
      <c r="GV1388" s="1"/>
      <c r="GW1388" s="1"/>
      <c r="GX1388" s="1"/>
      <c r="GY1388" s="1"/>
      <c r="GZ1388" s="1"/>
      <c r="HA1388" s="1"/>
      <c r="HB1388" s="1"/>
      <c r="HC1388" s="1"/>
      <c r="HD1388" s="1"/>
      <c r="HE1388" s="1"/>
      <c r="HF1388" s="1"/>
      <c r="HG1388" s="1"/>
      <c r="HH1388" s="1"/>
    </row>
    <row r="1389" spans="1:216" x14ac:dyDescent="0.3">
      <c r="A1389" s="3"/>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c r="FT1389" s="1"/>
      <c r="FU1389" s="1"/>
      <c r="FV1389" s="1"/>
      <c r="FW1389" s="1"/>
      <c r="FX1389" s="1"/>
      <c r="FY1389" s="1"/>
      <c r="FZ1389" s="1"/>
      <c r="GA1389" s="1"/>
      <c r="GB1389" s="1"/>
      <c r="GC1389" s="1"/>
      <c r="GD1389" s="1"/>
      <c r="GE1389" s="1"/>
      <c r="GF1389" s="1"/>
      <c r="GG1389" s="1"/>
      <c r="GH1389" s="1"/>
      <c r="GI1389" s="1"/>
      <c r="GJ1389" s="1"/>
      <c r="GK1389" s="1"/>
      <c r="GL1389" s="1"/>
      <c r="GM1389" s="1"/>
      <c r="GN1389" s="1"/>
      <c r="GO1389" s="1"/>
      <c r="GP1389" s="1"/>
      <c r="GQ1389" s="1"/>
      <c r="GR1389" s="1"/>
      <c r="GS1389" s="1"/>
      <c r="GT1389" s="1"/>
      <c r="GU1389" s="1"/>
      <c r="GV1389" s="1"/>
      <c r="GW1389" s="1"/>
      <c r="GX1389" s="1"/>
      <c r="GY1389" s="1"/>
      <c r="GZ1389" s="1"/>
      <c r="HA1389" s="1"/>
      <c r="HB1389" s="1"/>
      <c r="HC1389" s="1"/>
      <c r="HD1389" s="1"/>
      <c r="HE1389" s="1"/>
      <c r="HF1389" s="1"/>
      <c r="HG1389" s="1"/>
      <c r="HH1389" s="1"/>
    </row>
    <row r="1390" spans="1:216" x14ac:dyDescent="0.3">
      <c r="A1390" s="3"/>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row>
    <row r="1391" spans="1:216" x14ac:dyDescent="0.3">
      <c r="A1391" s="3"/>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c r="FT1391" s="1"/>
      <c r="FU1391" s="1"/>
      <c r="FV1391" s="1"/>
      <c r="FW1391" s="1"/>
      <c r="FX1391" s="1"/>
      <c r="FY1391" s="1"/>
      <c r="FZ1391" s="1"/>
      <c r="GA1391" s="1"/>
      <c r="GB1391" s="1"/>
      <c r="GC1391" s="1"/>
      <c r="GD1391" s="1"/>
      <c r="GE1391" s="1"/>
      <c r="GF1391" s="1"/>
      <c r="GG1391" s="1"/>
      <c r="GH1391" s="1"/>
      <c r="GI1391" s="1"/>
      <c r="GJ1391" s="1"/>
      <c r="GK1391" s="1"/>
      <c r="GL1391" s="1"/>
      <c r="GM1391" s="1"/>
      <c r="GN1391" s="1"/>
      <c r="GO1391" s="1"/>
      <c r="GP1391" s="1"/>
      <c r="GQ1391" s="1"/>
      <c r="GR1391" s="1"/>
      <c r="GS1391" s="1"/>
      <c r="GT1391" s="1"/>
      <c r="GU1391" s="1"/>
      <c r="GV1391" s="1"/>
      <c r="GW1391" s="1"/>
      <c r="GX1391" s="1"/>
      <c r="GY1391" s="1"/>
      <c r="GZ1391" s="1"/>
      <c r="HA1391" s="1"/>
      <c r="HB1391" s="1"/>
      <c r="HC1391" s="1"/>
      <c r="HD1391" s="1"/>
      <c r="HE1391" s="1"/>
      <c r="HF1391" s="1"/>
      <c r="HG1391" s="1"/>
      <c r="HH1391" s="1"/>
    </row>
    <row r="1392" spans="1:216" x14ac:dyDescent="0.3">
      <c r="A1392" s="3"/>
      <c r="B1392" s="1"/>
      <c r="C1392" s="1"/>
      <c r="D1392" s="1"/>
      <c r="E1392" s="1"/>
      <c r="F1392" s="1"/>
      <c r="G1392" s="1"/>
      <c r="H1392" s="1"/>
      <c r="I1392" s="1"/>
      <c r="J1392" s="1"/>
      <c r="K1392" s="1"/>
      <c r="L1392" s="1"/>
      <c r="M1392" s="1"/>
      <c r="N1392" s="1"/>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c r="CC1392" s="1"/>
      <c r="CD1392" s="1"/>
      <c r="CE1392" s="1"/>
      <c r="CF1392" s="1"/>
      <c r="CG1392" s="1"/>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c r="DK1392" s="1"/>
      <c r="DL1392" s="1"/>
      <c r="DM1392" s="1"/>
      <c r="DN1392" s="1"/>
      <c r="DO1392" s="1"/>
      <c r="DP1392" s="1"/>
      <c r="DQ1392" s="1"/>
      <c r="DR1392" s="1"/>
      <c r="DS1392" s="1"/>
      <c r="DT1392" s="1"/>
      <c r="DU1392" s="1"/>
      <c r="DV1392" s="1"/>
      <c r="DW1392" s="1"/>
      <c r="DX1392" s="1"/>
      <c r="DY1392" s="1"/>
      <c r="DZ1392" s="1"/>
      <c r="EA1392" s="1"/>
      <c r="EB1392" s="1"/>
      <c r="EC1392" s="1"/>
      <c r="ED1392" s="1"/>
      <c r="EE1392" s="1"/>
      <c r="EF1392" s="1"/>
      <c r="EG1392" s="1"/>
      <c r="EH1392" s="1"/>
      <c r="EI1392" s="1"/>
      <c r="EJ1392" s="1"/>
      <c r="EK1392" s="1"/>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c r="FN1392" s="1"/>
      <c r="FO1392" s="1"/>
      <c r="FP1392" s="1"/>
      <c r="FQ1392" s="1"/>
      <c r="FR1392" s="1"/>
      <c r="FS1392" s="1"/>
      <c r="FT1392" s="1"/>
      <c r="FU1392" s="1"/>
      <c r="FV1392" s="1"/>
      <c r="FW1392" s="1"/>
      <c r="FX1392" s="1"/>
      <c r="FY1392" s="1"/>
      <c r="FZ1392" s="1"/>
      <c r="GA1392" s="1"/>
      <c r="GB1392" s="1"/>
      <c r="GC1392" s="1"/>
      <c r="GD1392" s="1"/>
      <c r="GE1392" s="1"/>
      <c r="GF1392" s="1"/>
      <c r="GG1392" s="1"/>
      <c r="GH1392" s="1"/>
      <c r="GI1392" s="1"/>
      <c r="GJ1392" s="1"/>
      <c r="GK1392" s="1"/>
      <c r="GL1392" s="1"/>
      <c r="GM1392" s="1"/>
      <c r="GN1392" s="1"/>
      <c r="GO1392" s="1"/>
      <c r="GP1392" s="1"/>
      <c r="GQ1392" s="1"/>
      <c r="GR1392" s="1"/>
      <c r="GS1392" s="1"/>
      <c r="GT1392" s="1"/>
      <c r="GU1392" s="1"/>
      <c r="GV1392" s="1"/>
      <c r="GW1392" s="1"/>
      <c r="GX1392" s="1"/>
      <c r="GY1392" s="1"/>
      <c r="GZ1392" s="1"/>
      <c r="HA1392" s="1"/>
      <c r="HB1392" s="1"/>
      <c r="HC1392" s="1"/>
      <c r="HD1392" s="1"/>
      <c r="HE1392" s="1"/>
      <c r="HF1392" s="1"/>
      <c r="HG1392" s="1"/>
      <c r="HH1392" s="1"/>
    </row>
    <row r="1393" spans="1:216" x14ac:dyDescent="0.3">
      <c r="A1393" s="3"/>
      <c r="B1393" s="1"/>
      <c r="C1393" s="1"/>
      <c r="D1393" s="1"/>
      <c r="E1393" s="1"/>
      <c r="F1393" s="1"/>
      <c r="G1393" s="1"/>
      <c r="H1393" s="1"/>
      <c r="I1393" s="1"/>
      <c r="J1393" s="1"/>
      <c r="K1393" s="1"/>
      <c r="L1393" s="1"/>
      <c r="M1393" s="1"/>
      <c r="N1393" s="1"/>
      <c r="O1393" s="1"/>
      <c r="P1393" s="1"/>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c r="CC1393" s="1"/>
      <c r="CD1393" s="1"/>
      <c r="CE1393" s="1"/>
      <c r="CF1393" s="1"/>
      <c r="CG1393" s="1"/>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1"/>
      <c r="EI1393" s="1"/>
      <c r="EJ1393" s="1"/>
      <c r="EK1393" s="1"/>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1"/>
      <c r="GD1393" s="1"/>
      <c r="GE1393" s="1"/>
      <c r="GF1393" s="1"/>
      <c r="GG1393" s="1"/>
      <c r="GH1393" s="1"/>
      <c r="GI1393" s="1"/>
      <c r="GJ1393" s="1"/>
      <c r="GK1393" s="1"/>
      <c r="GL1393" s="1"/>
      <c r="GM1393" s="1"/>
      <c r="GN1393" s="1"/>
      <c r="GO1393" s="1"/>
      <c r="GP1393" s="1"/>
      <c r="GQ1393" s="1"/>
      <c r="GR1393" s="1"/>
      <c r="GS1393" s="1"/>
      <c r="GT1393" s="1"/>
      <c r="GU1393" s="1"/>
      <c r="GV1393" s="1"/>
      <c r="GW1393" s="1"/>
      <c r="GX1393" s="1"/>
      <c r="GY1393" s="1"/>
      <c r="GZ1393" s="1"/>
      <c r="HA1393" s="1"/>
      <c r="HB1393" s="1"/>
      <c r="HC1393" s="1"/>
      <c r="HD1393" s="1"/>
      <c r="HE1393" s="1"/>
      <c r="HF1393" s="1"/>
      <c r="HG1393" s="1"/>
      <c r="HH1393" s="1"/>
    </row>
    <row r="1394" spans="1:216" x14ac:dyDescent="0.3">
      <c r="A1394" s="3"/>
      <c r="B1394" s="1"/>
      <c r="C1394" s="1"/>
      <c r="D1394" s="1"/>
      <c r="E1394" s="1"/>
      <c r="F1394" s="1"/>
      <c r="G1394" s="1"/>
      <c r="H1394" s="1"/>
      <c r="I1394" s="1"/>
      <c r="J1394" s="1"/>
      <c r="K1394" s="1"/>
      <c r="L1394" s="1"/>
      <c r="M1394" s="1"/>
      <c r="N1394" s="1"/>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c r="CC1394" s="1"/>
      <c r="CD1394" s="1"/>
      <c r="CE1394" s="1"/>
      <c r="CF1394" s="1"/>
      <c r="CG1394" s="1"/>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c r="DK1394" s="1"/>
      <c r="DL1394" s="1"/>
      <c r="DM1394" s="1"/>
      <c r="DN1394" s="1"/>
      <c r="DO1394" s="1"/>
      <c r="DP1394" s="1"/>
      <c r="DQ1394" s="1"/>
      <c r="DR1394" s="1"/>
      <c r="DS1394" s="1"/>
      <c r="DT1394" s="1"/>
      <c r="DU1394" s="1"/>
      <c r="DV1394" s="1"/>
      <c r="DW1394" s="1"/>
      <c r="DX1394" s="1"/>
      <c r="DY1394" s="1"/>
      <c r="DZ1394" s="1"/>
      <c r="EA1394" s="1"/>
      <c r="EB1394" s="1"/>
      <c r="EC1394" s="1"/>
      <c r="ED1394" s="1"/>
      <c r="EE1394" s="1"/>
      <c r="EF1394" s="1"/>
      <c r="EG1394" s="1"/>
      <c r="EH1394" s="1"/>
      <c r="EI1394" s="1"/>
      <c r="EJ1394" s="1"/>
      <c r="EK1394" s="1"/>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1"/>
      <c r="GD1394" s="1"/>
      <c r="GE1394" s="1"/>
      <c r="GF1394" s="1"/>
      <c r="GG1394" s="1"/>
      <c r="GH1394" s="1"/>
      <c r="GI1394" s="1"/>
      <c r="GJ1394" s="1"/>
      <c r="GK1394" s="1"/>
      <c r="GL1394" s="1"/>
      <c r="GM1394" s="1"/>
      <c r="GN1394" s="1"/>
      <c r="GO1394" s="1"/>
      <c r="GP1394" s="1"/>
      <c r="GQ1394" s="1"/>
      <c r="GR1394" s="1"/>
      <c r="GS1394" s="1"/>
      <c r="GT1394" s="1"/>
      <c r="GU1394" s="1"/>
      <c r="GV1394" s="1"/>
      <c r="GW1394" s="1"/>
      <c r="GX1394" s="1"/>
      <c r="GY1394" s="1"/>
      <c r="GZ1394" s="1"/>
      <c r="HA1394" s="1"/>
      <c r="HB1394" s="1"/>
      <c r="HC1394" s="1"/>
      <c r="HD1394" s="1"/>
      <c r="HE1394" s="1"/>
      <c r="HF1394" s="1"/>
      <c r="HG1394" s="1"/>
      <c r="HH1394" s="1"/>
    </row>
    <row r="1395" spans="1:216" x14ac:dyDescent="0.3">
      <c r="A1395" s="3"/>
      <c r="B1395" s="1"/>
      <c r="C1395" s="1"/>
      <c r="D1395" s="1"/>
      <c r="E1395" s="1"/>
      <c r="F1395" s="1"/>
      <c r="G1395" s="1"/>
      <c r="H1395" s="1"/>
      <c r="I1395" s="1"/>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c r="CC1395" s="1"/>
      <c r="CD1395" s="1"/>
      <c r="CE1395" s="1"/>
      <c r="CF1395" s="1"/>
      <c r="CG1395" s="1"/>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c r="DK1395" s="1"/>
      <c r="DL1395" s="1"/>
      <c r="DM1395" s="1"/>
      <c r="DN1395" s="1"/>
      <c r="DO1395" s="1"/>
      <c r="DP1395" s="1"/>
      <c r="DQ1395" s="1"/>
      <c r="DR1395" s="1"/>
      <c r="DS1395" s="1"/>
      <c r="DT1395" s="1"/>
      <c r="DU1395" s="1"/>
      <c r="DV1395" s="1"/>
      <c r="DW1395" s="1"/>
      <c r="DX1395" s="1"/>
      <c r="DY1395" s="1"/>
      <c r="DZ1395" s="1"/>
      <c r="EA1395" s="1"/>
      <c r="EB1395" s="1"/>
      <c r="EC1395" s="1"/>
      <c r="ED1395" s="1"/>
      <c r="EE1395" s="1"/>
      <c r="EF1395" s="1"/>
      <c r="EG1395" s="1"/>
      <c r="EH1395" s="1"/>
      <c r="EI1395" s="1"/>
      <c r="EJ1395" s="1"/>
      <c r="EK1395" s="1"/>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c r="FS1395" s="1"/>
      <c r="FT1395" s="1"/>
      <c r="FU1395" s="1"/>
      <c r="FV1395" s="1"/>
      <c r="FW1395" s="1"/>
      <c r="FX1395" s="1"/>
      <c r="FY1395" s="1"/>
      <c r="FZ1395" s="1"/>
      <c r="GA1395" s="1"/>
      <c r="GB1395" s="1"/>
      <c r="GC1395" s="1"/>
      <c r="GD1395" s="1"/>
      <c r="GE1395" s="1"/>
      <c r="GF1395" s="1"/>
      <c r="GG1395" s="1"/>
      <c r="GH1395" s="1"/>
      <c r="GI1395" s="1"/>
      <c r="GJ1395" s="1"/>
      <c r="GK1395" s="1"/>
      <c r="GL1395" s="1"/>
      <c r="GM1395" s="1"/>
      <c r="GN1395" s="1"/>
      <c r="GO1395" s="1"/>
      <c r="GP1395" s="1"/>
      <c r="GQ1395" s="1"/>
      <c r="GR1395" s="1"/>
      <c r="GS1395" s="1"/>
      <c r="GT1395" s="1"/>
      <c r="GU1395" s="1"/>
      <c r="GV1395" s="1"/>
      <c r="GW1395" s="1"/>
      <c r="GX1395" s="1"/>
      <c r="GY1395" s="1"/>
      <c r="GZ1395" s="1"/>
      <c r="HA1395" s="1"/>
      <c r="HB1395" s="1"/>
      <c r="HC1395" s="1"/>
      <c r="HD1395" s="1"/>
      <c r="HE1395" s="1"/>
      <c r="HF1395" s="1"/>
      <c r="HG1395" s="1"/>
      <c r="HH1395" s="1"/>
    </row>
    <row r="1396" spans="1:216" x14ac:dyDescent="0.3">
      <c r="A1396" s="3"/>
      <c r="B1396" s="1"/>
      <c r="C1396" s="1"/>
      <c r="D1396" s="1"/>
      <c r="E1396" s="1"/>
      <c r="F1396" s="1"/>
      <c r="G1396" s="1"/>
      <c r="H1396" s="1"/>
      <c r="I1396" s="1"/>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c r="CC1396" s="1"/>
      <c r="CD1396" s="1"/>
      <c r="CE1396" s="1"/>
      <c r="CF1396" s="1"/>
      <c r="CG1396" s="1"/>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c r="DK1396" s="1"/>
      <c r="DL1396" s="1"/>
      <c r="DM1396" s="1"/>
      <c r="DN1396" s="1"/>
      <c r="DO1396" s="1"/>
      <c r="DP1396" s="1"/>
      <c r="DQ1396" s="1"/>
      <c r="DR1396" s="1"/>
      <c r="DS1396" s="1"/>
      <c r="DT1396" s="1"/>
      <c r="DU1396" s="1"/>
      <c r="DV1396" s="1"/>
      <c r="DW1396" s="1"/>
      <c r="DX1396" s="1"/>
      <c r="DY1396" s="1"/>
      <c r="DZ1396" s="1"/>
      <c r="EA1396" s="1"/>
      <c r="EB1396" s="1"/>
      <c r="EC1396" s="1"/>
      <c r="ED1396" s="1"/>
      <c r="EE1396" s="1"/>
      <c r="EF1396" s="1"/>
      <c r="EG1396" s="1"/>
      <c r="EH1396" s="1"/>
      <c r="EI1396" s="1"/>
      <c r="EJ1396" s="1"/>
      <c r="EK1396" s="1"/>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1"/>
      <c r="GD1396" s="1"/>
      <c r="GE1396" s="1"/>
      <c r="GF1396" s="1"/>
      <c r="GG1396" s="1"/>
      <c r="GH1396" s="1"/>
      <c r="GI1396" s="1"/>
      <c r="GJ1396" s="1"/>
      <c r="GK1396" s="1"/>
      <c r="GL1396" s="1"/>
      <c r="GM1396" s="1"/>
      <c r="GN1396" s="1"/>
      <c r="GO1396" s="1"/>
      <c r="GP1396" s="1"/>
      <c r="GQ1396" s="1"/>
      <c r="GR1396" s="1"/>
      <c r="GS1396" s="1"/>
      <c r="GT1396" s="1"/>
      <c r="GU1396" s="1"/>
      <c r="GV1396" s="1"/>
      <c r="GW1396" s="1"/>
      <c r="GX1396" s="1"/>
      <c r="GY1396" s="1"/>
      <c r="GZ1396" s="1"/>
      <c r="HA1396" s="1"/>
      <c r="HB1396" s="1"/>
      <c r="HC1396" s="1"/>
      <c r="HD1396" s="1"/>
      <c r="HE1396" s="1"/>
      <c r="HF1396" s="1"/>
      <c r="HG1396" s="1"/>
      <c r="HH1396" s="1"/>
    </row>
    <row r="1397" spans="1:216" x14ac:dyDescent="0.3">
      <c r="A1397" s="3"/>
      <c r="B1397" s="1"/>
      <c r="C1397" s="1"/>
      <c r="D1397" s="1"/>
      <c r="E1397" s="1"/>
      <c r="F1397" s="1"/>
      <c r="G1397" s="1"/>
      <c r="H1397" s="1"/>
      <c r="I1397" s="1"/>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1"/>
      <c r="CG1397" s="1"/>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c r="DK1397" s="1"/>
      <c r="DL1397" s="1"/>
      <c r="DM1397" s="1"/>
      <c r="DN1397" s="1"/>
      <c r="DO1397" s="1"/>
      <c r="DP1397" s="1"/>
      <c r="DQ1397" s="1"/>
      <c r="DR1397" s="1"/>
      <c r="DS1397" s="1"/>
      <c r="DT1397" s="1"/>
      <c r="DU1397" s="1"/>
      <c r="DV1397" s="1"/>
      <c r="DW1397" s="1"/>
      <c r="DX1397" s="1"/>
      <c r="DY1397" s="1"/>
      <c r="DZ1397" s="1"/>
      <c r="EA1397" s="1"/>
      <c r="EB1397" s="1"/>
      <c r="EC1397" s="1"/>
      <c r="ED1397" s="1"/>
      <c r="EE1397" s="1"/>
      <c r="EF1397" s="1"/>
      <c r="EG1397" s="1"/>
      <c r="EH1397" s="1"/>
      <c r="EI1397" s="1"/>
      <c r="EJ1397" s="1"/>
      <c r="EK1397" s="1"/>
      <c r="EL1397" s="1"/>
      <c r="EM1397" s="1"/>
      <c r="EN1397" s="1"/>
      <c r="EO1397" s="1"/>
      <c r="EP1397" s="1"/>
      <c r="EQ1397" s="1"/>
      <c r="ER1397" s="1"/>
      <c r="ES1397" s="1"/>
      <c r="ET1397" s="1"/>
      <c r="EU1397" s="1"/>
      <c r="EV1397" s="1"/>
      <c r="EW1397" s="1"/>
      <c r="EX1397" s="1"/>
      <c r="EY1397" s="1"/>
      <c r="EZ1397" s="1"/>
      <c r="FA1397" s="1"/>
      <c r="FB1397" s="1"/>
      <c r="FC1397" s="1"/>
      <c r="FD1397" s="1"/>
      <c r="FE1397" s="1"/>
      <c r="FF1397" s="1"/>
      <c r="FG1397" s="1"/>
      <c r="FH1397" s="1"/>
      <c r="FI1397" s="1"/>
      <c r="FJ1397" s="1"/>
      <c r="FK1397" s="1"/>
      <c r="FL1397" s="1"/>
      <c r="FM1397" s="1"/>
      <c r="FN1397" s="1"/>
      <c r="FO1397" s="1"/>
      <c r="FP1397" s="1"/>
      <c r="FQ1397" s="1"/>
      <c r="FR1397" s="1"/>
      <c r="FS1397" s="1"/>
      <c r="FT1397" s="1"/>
      <c r="FU1397" s="1"/>
      <c r="FV1397" s="1"/>
      <c r="FW1397" s="1"/>
      <c r="FX1397" s="1"/>
      <c r="FY1397" s="1"/>
      <c r="FZ1397" s="1"/>
      <c r="GA1397" s="1"/>
      <c r="GB1397" s="1"/>
      <c r="GC1397" s="1"/>
      <c r="GD1397" s="1"/>
      <c r="GE1397" s="1"/>
      <c r="GF1397" s="1"/>
      <c r="GG1397" s="1"/>
      <c r="GH1397" s="1"/>
      <c r="GI1397" s="1"/>
      <c r="GJ1397" s="1"/>
      <c r="GK1397" s="1"/>
      <c r="GL1397" s="1"/>
      <c r="GM1397" s="1"/>
      <c r="GN1397" s="1"/>
      <c r="GO1397" s="1"/>
      <c r="GP1397" s="1"/>
      <c r="GQ1397" s="1"/>
      <c r="GR1397" s="1"/>
      <c r="GS1397" s="1"/>
      <c r="GT1397" s="1"/>
      <c r="GU1397" s="1"/>
      <c r="GV1397" s="1"/>
      <c r="GW1397" s="1"/>
      <c r="GX1397" s="1"/>
      <c r="GY1397" s="1"/>
      <c r="GZ1397" s="1"/>
      <c r="HA1397" s="1"/>
      <c r="HB1397" s="1"/>
      <c r="HC1397" s="1"/>
      <c r="HD1397" s="1"/>
      <c r="HE1397" s="1"/>
      <c r="HF1397" s="1"/>
      <c r="HG1397" s="1"/>
      <c r="HH1397" s="1"/>
    </row>
    <row r="1398" spans="1:216" x14ac:dyDescent="0.3">
      <c r="A1398" s="3"/>
      <c r="B1398" s="1"/>
      <c r="C1398" s="1"/>
      <c r="D1398" s="1"/>
      <c r="E1398" s="1"/>
      <c r="F1398" s="1"/>
      <c r="G1398" s="1"/>
      <c r="H1398" s="1"/>
      <c r="I1398" s="1"/>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1"/>
      <c r="CG1398" s="1"/>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1"/>
      <c r="EI1398" s="1"/>
      <c r="EJ1398" s="1"/>
      <c r="EK1398" s="1"/>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c r="FN1398" s="1"/>
      <c r="FO1398" s="1"/>
      <c r="FP1398" s="1"/>
      <c r="FQ1398" s="1"/>
      <c r="FR1398" s="1"/>
      <c r="FS1398" s="1"/>
      <c r="FT1398" s="1"/>
      <c r="FU1398" s="1"/>
      <c r="FV1398" s="1"/>
      <c r="FW1398" s="1"/>
      <c r="FX1398" s="1"/>
      <c r="FY1398" s="1"/>
      <c r="FZ1398" s="1"/>
      <c r="GA1398" s="1"/>
      <c r="GB1398" s="1"/>
      <c r="GC1398" s="1"/>
      <c r="GD1398" s="1"/>
      <c r="GE1398" s="1"/>
      <c r="GF1398" s="1"/>
      <c r="GG1398" s="1"/>
      <c r="GH1398" s="1"/>
      <c r="GI1398" s="1"/>
      <c r="GJ1398" s="1"/>
      <c r="GK1398" s="1"/>
      <c r="GL1398" s="1"/>
      <c r="GM1398" s="1"/>
      <c r="GN1398" s="1"/>
      <c r="GO1398" s="1"/>
      <c r="GP1398" s="1"/>
      <c r="GQ1398" s="1"/>
      <c r="GR1398" s="1"/>
      <c r="GS1398" s="1"/>
      <c r="GT1398" s="1"/>
      <c r="GU1398" s="1"/>
      <c r="GV1398" s="1"/>
      <c r="GW1398" s="1"/>
      <c r="GX1398" s="1"/>
      <c r="GY1398" s="1"/>
      <c r="GZ1398" s="1"/>
      <c r="HA1398" s="1"/>
      <c r="HB1398" s="1"/>
      <c r="HC1398" s="1"/>
      <c r="HD1398" s="1"/>
      <c r="HE1398" s="1"/>
      <c r="HF1398" s="1"/>
      <c r="HG1398" s="1"/>
      <c r="HH1398" s="1"/>
    </row>
    <row r="1399" spans="1:216" x14ac:dyDescent="0.3">
      <c r="A1399" s="3"/>
      <c r="B1399" s="1"/>
      <c r="C1399" s="1"/>
      <c r="D1399" s="1"/>
      <c r="E1399" s="1"/>
      <c r="F1399" s="1"/>
      <c r="G1399" s="1"/>
      <c r="H1399" s="1"/>
      <c r="I1399" s="1"/>
      <c r="J1399" s="1"/>
      <c r="K1399" s="1"/>
      <c r="L1399" s="1"/>
      <c r="M1399" s="1"/>
      <c r="N1399" s="1"/>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c r="CC1399" s="1"/>
      <c r="CD1399" s="1"/>
      <c r="CE1399" s="1"/>
      <c r="CF1399" s="1"/>
      <c r="CG1399" s="1"/>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c r="DK1399" s="1"/>
      <c r="DL1399" s="1"/>
      <c r="DM1399" s="1"/>
      <c r="DN1399" s="1"/>
      <c r="DO1399" s="1"/>
      <c r="DP1399" s="1"/>
      <c r="DQ1399" s="1"/>
      <c r="DR1399" s="1"/>
      <c r="DS1399" s="1"/>
      <c r="DT1399" s="1"/>
      <c r="DU1399" s="1"/>
      <c r="DV1399" s="1"/>
      <c r="DW1399" s="1"/>
      <c r="DX1399" s="1"/>
      <c r="DY1399" s="1"/>
      <c r="DZ1399" s="1"/>
      <c r="EA1399" s="1"/>
      <c r="EB1399" s="1"/>
      <c r="EC1399" s="1"/>
      <c r="ED1399" s="1"/>
      <c r="EE1399" s="1"/>
      <c r="EF1399" s="1"/>
      <c r="EG1399" s="1"/>
      <c r="EH1399" s="1"/>
      <c r="EI1399" s="1"/>
      <c r="EJ1399" s="1"/>
      <c r="EK1399" s="1"/>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c r="FN1399" s="1"/>
      <c r="FO1399" s="1"/>
      <c r="FP1399" s="1"/>
      <c r="FQ1399" s="1"/>
      <c r="FR1399" s="1"/>
      <c r="FS1399" s="1"/>
      <c r="FT1399" s="1"/>
      <c r="FU1399" s="1"/>
      <c r="FV1399" s="1"/>
      <c r="FW1399" s="1"/>
      <c r="FX1399" s="1"/>
      <c r="FY1399" s="1"/>
      <c r="FZ1399" s="1"/>
      <c r="GA1399" s="1"/>
      <c r="GB1399" s="1"/>
      <c r="GC1399" s="1"/>
      <c r="GD1399" s="1"/>
      <c r="GE1399" s="1"/>
      <c r="GF1399" s="1"/>
      <c r="GG1399" s="1"/>
      <c r="GH1399" s="1"/>
      <c r="GI1399" s="1"/>
      <c r="GJ1399" s="1"/>
      <c r="GK1399" s="1"/>
      <c r="GL1399" s="1"/>
      <c r="GM1399" s="1"/>
      <c r="GN1399" s="1"/>
      <c r="GO1399" s="1"/>
      <c r="GP1399" s="1"/>
      <c r="GQ1399" s="1"/>
      <c r="GR1399" s="1"/>
      <c r="GS1399" s="1"/>
      <c r="GT1399" s="1"/>
      <c r="GU1399" s="1"/>
      <c r="GV1399" s="1"/>
      <c r="GW1399" s="1"/>
      <c r="GX1399" s="1"/>
      <c r="GY1399" s="1"/>
      <c r="GZ1399" s="1"/>
      <c r="HA1399" s="1"/>
      <c r="HB1399" s="1"/>
      <c r="HC1399" s="1"/>
      <c r="HD1399" s="1"/>
      <c r="HE1399" s="1"/>
      <c r="HF1399" s="1"/>
      <c r="HG1399" s="1"/>
      <c r="HH1399" s="1"/>
    </row>
    <row r="1400" spans="1:216" x14ac:dyDescent="0.3">
      <c r="A1400" s="3"/>
      <c r="B1400" s="1"/>
      <c r="C1400" s="1"/>
      <c r="D1400" s="1"/>
      <c r="E1400" s="1"/>
      <c r="F1400" s="1"/>
      <c r="G1400" s="1"/>
      <c r="H1400" s="1"/>
      <c r="I1400" s="1"/>
      <c r="J1400" s="1"/>
      <c r="K1400" s="1"/>
      <c r="L1400" s="1"/>
      <c r="M1400" s="1"/>
      <c r="N1400" s="1"/>
      <c r="O1400" s="1"/>
      <c r="P1400" s="1"/>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1"/>
      <c r="CG1400" s="1"/>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c r="DK1400" s="1"/>
      <c r="DL1400" s="1"/>
      <c r="DM1400" s="1"/>
      <c r="DN1400" s="1"/>
      <c r="DO1400" s="1"/>
      <c r="DP1400" s="1"/>
      <c r="DQ1400" s="1"/>
      <c r="DR1400" s="1"/>
      <c r="DS1400" s="1"/>
      <c r="DT1400" s="1"/>
      <c r="DU1400" s="1"/>
      <c r="DV1400" s="1"/>
      <c r="DW1400" s="1"/>
      <c r="DX1400" s="1"/>
      <c r="DY1400" s="1"/>
      <c r="DZ1400" s="1"/>
      <c r="EA1400" s="1"/>
      <c r="EB1400" s="1"/>
      <c r="EC1400" s="1"/>
      <c r="ED1400" s="1"/>
      <c r="EE1400" s="1"/>
      <c r="EF1400" s="1"/>
      <c r="EG1400" s="1"/>
      <c r="EH1400" s="1"/>
      <c r="EI1400" s="1"/>
      <c r="EJ1400" s="1"/>
      <c r="EK1400" s="1"/>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c r="FN1400" s="1"/>
      <c r="FO1400" s="1"/>
      <c r="FP1400" s="1"/>
      <c r="FQ1400" s="1"/>
      <c r="FR1400" s="1"/>
      <c r="FS1400" s="1"/>
      <c r="FT1400" s="1"/>
      <c r="FU1400" s="1"/>
      <c r="FV1400" s="1"/>
      <c r="FW1400" s="1"/>
      <c r="FX1400" s="1"/>
      <c r="FY1400" s="1"/>
      <c r="FZ1400" s="1"/>
      <c r="GA1400" s="1"/>
      <c r="GB1400" s="1"/>
      <c r="GC1400" s="1"/>
      <c r="GD1400" s="1"/>
      <c r="GE1400" s="1"/>
      <c r="GF1400" s="1"/>
      <c r="GG1400" s="1"/>
      <c r="GH1400" s="1"/>
      <c r="GI1400" s="1"/>
      <c r="GJ1400" s="1"/>
      <c r="GK1400" s="1"/>
      <c r="GL1400" s="1"/>
      <c r="GM1400" s="1"/>
      <c r="GN1400" s="1"/>
      <c r="GO1400" s="1"/>
      <c r="GP1400" s="1"/>
      <c r="GQ1400" s="1"/>
      <c r="GR1400" s="1"/>
      <c r="GS1400" s="1"/>
      <c r="GT1400" s="1"/>
      <c r="GU1400" s="1"/>
      <c r="GV1400" s="1"/>
      <c r="GW1400" s="1"/>
      <c r="GX1400" s="1"/>
      <c r="GY1400" s="1"/>
      <c r="GZ1400" s="1"/>
      <c r="HA1400" s="1"/>
      <c r="HB1400" s="1"/>
      <c r="HC1400" s="1"/>
      <c r="HD1400" s="1"/>
      <c r="HE1400" s="1"/>
      <c r="HF1400" s="1"/>
      <c r="HG1400" s="1"/>
      <c r="HH1400" s="1"/>
    </row>
    <row r="1401" spans="1:216" x14ac:dyDescent="0.3">
      <c r="A1401" s="3"/>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c r="CC1401" s="1"/>
      <c r="CD1401" s="1"/>
      <c r="CE1401" s="1"/>
      <c r="CF1401" s="1"/>
      <c r="CG1401" s="1"/>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c r="DK1401" s="1"/>
      <c r="DL1401" s="1"/>
      <c r="DM1401" s="1"/>
      <c r="DN1401" s="1"/>
      <c r="DO1401" s="1"/>
      <c r="DP1401" s="1"/>
      <c r="DQ1401" s="1"/>
      <c r="DR1401" s="1"/>
      <c r="DS1401" s="1"/>
      <c r="DT1401" s="1"/>
      <c r="DU1401" s="1"/>
      <c r="DV1401" s="1"/>
      <c r="DW1401" s="1"/>
      <c r="DX1401" s="1"/>
      <c r="DY1401" s="1"/>
      <c r="DZ1401" s="1"/>
      <c r="EA1401" s="1"/>
      <c r="EB1401" s="1"/>
      <c r="EC1401" s="1"/>
      <c r="ED1401" s="1"/>
      <c r="EE1401" s="1"/>
      <c r="EF1401" s="1"/>
      <c r="EG1401" s="1"/>
      <c r="EH1401" s="1"/>
      <c r="EI1401" s="1"/>
      <c r="EJ1401" s="1"/>
      <c r="EK1401" s="1"/>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1"/>
      <c r="GD1401" s="1"/>
      <c r="GE1401" s="1"/>
      <c r="GF1401" s="1"/>
      <c r="GG1401" s="1"/>
      <c r="GH1401" s="1"/>
      <c r="GI1401" s="1"/>
      <c r="GJ1401" s="1"/>
      <c r="GK1401" s="1"/>
      <c r="GL1401" s="1"/>
      <c r="GM1401" s="1"/>
      <c r="GN1401" s="1"/>
      <c r="GO1401" s="1"/>
      <c r="GP1401" s="1"/>
      <c r="GQ1401" s="1"/>
      <c r="GR1401" s="1"/>
      <c r="GS1401" s="1"/>
      <c r="GT1401" s="1"/>
      <c r="GU1401" s="1"/>
      <c r="GV1401" s="1"/>
      <c r="GW1401" s="1"/>
      <c r="GX1401" s="1"/>
      <c r="GY1401" s="1"/>
      <c r="GZ1401" s="1"/>
      <c r="HA1401" s="1"/>
      <c r="HB1401" s="1"/>
      <c r="HC1401" s="1"/>
      <c r="HD1401" s="1"/>
      <c r="HE1401" s="1"/>
      <c r="HF1401" s="1"/>
      <c r="HG1401" s="1"/>
      <c r="HH1401" s="1"/>
    </row>
    <row r="1402" spans="1:216" x14ac:dyDescent="0.3">
      <c r="A1402" s="3"/>
      <c r="B1402" s="1"/>
      <c r="C1402" s="1"/>
      <c r="D1402" s="1"/>
      <c r="E1402" s="1"/>
      <c r="F1402" s="1"/>
      <c r="G1402" s="1"/>
      <c r="H1402" s="1"/>
      <c r="I1402" s="1"/>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1"/>
      <c r="CG1402" s="1"/>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1"/>
      <c r="EI1402" s="1"/>
      <c r="EJ1402" s="1"/>
      <c r="EK1402" s="1"/>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1"/>
      <c r="GD1402" s="1"/>
      <c r="GE1402" s="1"/>
      <c r="GF1402" s="1"/>
      <c r="GG1402" s="1"/>
      <c r="GH1402" s="1"/>
      <c r="GI1402" s="1"/>
      <c r="GJ1402" s="1"/>
      <c r="GK1402" s="1"/>
      <c r="GL1402" s="1"/>
      <c r="GM1402" s="1"/>
      <c r="GN1402" s="1"/>
      <c r="GO1402" s="1"/>
      <c r="GP1402" s="1"/>
      <c r="GQ1402" s="1"/>
      <c r="GR1402" s="1"/>
      <c r="GS1402" s="1"/>
      <c r="GT1402" s="1"/>
      <c r="GU1402" s="1"/>
      <c r="GV1402" s="1"/>
      <c r="GW1402" s="1"/>
      <c r="GX1402" s="1"/>
      <c r="GY1402" s="1"/>
      <c r="GZ1402" s="1"/>
      <c r="HA1402" s="1"/>
      <c r="HB1402" s="1"/>
      <c r="HC1402" s="1"/>
      <c r="HD1402" s="1"/>
      <c r="HE1402" s="1"/>
      <c r="HF1402" s="1"/>
      <c r="HG1402" s="1"/>
      <c r="HH1402" s="1"/>
    </row>
    <row r="1403" spans="1:216" x14ac:dyDescent="0.3">
      <c r="A1403" s="3"/>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c r="CC1403" s="1"/>
      <c r="CD1403" s="1"/>
      <c r="CE1403" s="1"/>
      <c r="CF1403" s="1"/>
      <c r="CG1403" s="1"/>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c r="EF1403" s="1"/>
      <c r="EG1403" s="1"/>
      <c r="EH1403" s="1"/>
      <c r="EI1403" s="1"/>
      <c r="EJ1403" s="1"/>
      <c r="EK1403" s="1"/>
      <c r="EL1403" s="1"/>
      <c r="EM1403" s="1"/>
      <c r="EN1403" s="1"/>
      <c r="EO1403" s="1"/>
      <c r="EP1403" s="1"/>
      <c r="EQ1403" s="1"/>
      <c r="ER1403" s="1"/>
      <c r="ES1403" s="1"/>
      <c r="ET1403" s="1"/>
      <c r="EU1403" s="1"/>
      <c r="EV1403" s="1"/>
      <c r="EW1403" s="1"/>
      <c r="EX1403" s="1"/>
      <c r="EY1403" s="1"/>
      <c r="EZ1403" s="1"/>
      <c r="FA1403" s="1"/>
      <c r="FB1403" s="1"/>
      <c r="FC1403" s="1"/>
      <c r="FD1403" s="1"/>
      <c r="FE1403" s="1"/>
      <c r="FF1403" s="1"/>
      <c r="FG1403" s="1"/>
      <c r="FH1403" s="1"/>
      <c r="FI1403" s="1"/>
      <c r="FJ1403" s="1"/>
      <c r="FK1403" s="1"/>
      <c r="FL1403" s="1"/>
      <c r="FM1403" s="1"/>
      <c r="FN1403" s="1"/>
      <c r="FO1403" s="1"/>
      <c r="FP1403" s="1"/>
      <c r="FQ1403" s="1"/>
      <c r="FR1403" s="1"/>
      <c r="FS1403" s="1"/>
      <c r="FT1403" s="1"/>
      <c r="FU1403" s="1"/>
      <c r="FV1403" s="1"/>
      <c r="FW1403" s="1"/>
      <c r="FX1403" s="1"/>
      <c r="FY1403" s="1"/>
      <c r="FZ1403" s="1"/>
      <c r="GA1403" s="1"/>
      <c r="GB1403" s="1"/>
      <c r="GC1403" s="1"/>
      <c r="GD1403" s="1"/>
      <c r="GE1403" s="1"/>
      <c r="GF1403" s="1"/>
      <c r="GG1403" s="1"/>
      <c r="GH1403" s="1"/>
      <c r="GI1403" s="1"/>
      <c r="GJ1403" s="1"/>
      <c r="GK1403" s="1"/>
      <c r="GL1403" s="1"/>
      <c r="GM1403" s="1"/>
      <c r="GN1403" s="1"/>
      <c r="GO1403" s="1"/>
      <c r="GP1403" s="1"/>
      <c r="GQ1403" s="1"/>
      <c r="GR1403" s="1"/>
      <c r="GS1403" s="1"/>
      <c r="GT1403" s="1"/>
      <c r="GU1403" s="1"/>
      <c r="GV1403" s="1"/>
      <c r="GW1403" s="1"/>
      <c r="GX1403" s="1"/>
      <c r="GY1403" s="1"/>
      <c r="GZ1403" s="1"/>
      <c r="HA1403" s="1"/>
      <c r="HB1403" s="1"/>
      <c r="HC1403" s="1"/>
      <c r="HD1403" s="1"/>
      <c r="HE1403" s="1"/>
      <c r="HF1403" s="1"/>
      <c r="HG1403" s="1"/>
      <c r="HH1403" s="1"/>
    </row>
    <row r="1404" spans="1:216" x14ac:dyDescent="0.3">
      <c r="A1404" s="3"/>
      <c r="B1404" s="1"/>
      <c r="C1404" s="1"/>
      <c r="D1404" s="1"/>
      <c r="E1404" s="1"/>
      <c r="F1404" s="1"/>
      <c r="G1404" s="1"/>
      <c r="H1404" s="1"/>
      <c r="I1404" s="1"/>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1"/>
      <c r="CG1404" s="1"/>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1"/>
      <c r="EI1404" s="1"/>
      <c r="EJ1404" s="1"/>
      <c r="EK1404" s="1"/>
      <c r="EL1404" s="1"/>
      <c r="EM1404" s="1"/>
      <c r="EN1404" s="1"/>
      <c r="EO1404" s="1"/>
      <c r="EP1404" s="1"/>
      <c r="EQ1404" s="1"/>
      <c r="ER1404" s="1"/>
      <c r="ES1404" s="1"/>
      <c r="ET1404" s="1"/>
      <c r="EU1404" s="1"/>
      <c r="EV1404" s="1"/>
      <c r="EW1404" s="1"/>
      <c r="EX1404" s="1"/>
      <c r="EY1404" s="1"/>
      <c r="EZ1404" s="1"/>
      <c r="FA1404" s="1"/>
      <c r="FB1404" s="1"/>
      <c r="FC1404" s="1"/>
      <c r="FD1404" s="1"/>
      <c r="FE1404" s="1"/>
      <c r="FF1404" s="1"/>
      <c r="FG1404" s="1"/>
      <c r="FH1404" s="1"/>
      <c r="FI1404" s="1"/>
      <c r="FJ1404" s="1"/>
      <c r="FK1404" s="1"/>
      <c r="FL1404" s="1"/>
      <c r="FM1404" s="1"/>
      <c r="FN1404" s="1"/>
      <c r="FO1404" s="1"/>
      <c r="FP1404" s="1"/>
      <c r="FQ1404" s="1"/>
      <c r="FR1404" s="1"/>
      <c r="FS1404" s="1"/>
      <c r="FT1404" s="1"/>
      <c r="FU1404" s="1"/>
      <c r="FV1404" s="1"/>
      <c r="FW1404" s="1"/>
      <c r="FX1404" s="1"/>
      <c r="FY1404" s="1"/>
      <c r="FZ1404" s="1"/>
      <c r="GA1404" s="1"/>
      <c r="GB1404" s="1"/>
      <c r="GC1404" s="1"/>
      <c r="GD1404" s="1"/>
      <c r="GE1404" s="1"/>
      <c r="GF1404" s="1"/>
      <c r="GG1404" s="1"/>
      <c r="GH1404" s="1"/>
      <c r="GI1404" s="1"/>
      <c r="GJ1404" s="1"/>
      <c r="GK1404" s="1"/>
      <c r="GL1404" s="1"/>
      <c r="GM1404" s="1"/>
      <c r="GN1404" s="1"/>
      <c r="GO1404" s="1"/>
      <c r="GP1404" s="1"/>
      <c r="GQ1404" s="1"/>
      <c r="GR1404" s="1"/>
      <c r="GS1404" s="1"/>
      <c r="GT1404" s="1"/>
      <c r="GU1404" s="1"/>
      <c r="GV1404" s="1"/>
      <c r="GW1404" s="1"/>
      <c r="GX1404" s="1"/>
      <c r="GY1404" s="1"/>
      <c r="GZ1404" s="1"/>
      <c r="HA1404" s="1"/>
      <c r="HB1404" s="1"/>
      <c r="HC1404" s="1"/>
      <c r="HD1404" s="1"/>
      <c r="HE1404" s="1"/>
      <c r="HF1404" s="1"/>
      <c r="HG1404" s="1"/>
      <c r="HH1404" s="1"/>
    </row>
    <row r="1405" spans="1:216" x14ac:dyDescent="0.3">
      <c r="A1405" s="3"/>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1"/>
      <c r="CG1405" s="1"/>
      <c r="CH1405" s="1"/>
      <c r="CI1405" s="1"/>
      <c r="CJ1405" s="1"/>
      <c r="CK1405" s="1"/>
      <c r="CL1405" s="1"/>
      <c r="CM1405" s="1"/>
      <c r="CN1405" s="1"/>
      <c r="CO1405" s="1"/>
      <c r="CP1405" s="1"/>
      <c r="CQ1405" s="1"/>
      <c r="CR1405" s="1"/>
      <c r="CS1405" s="1"/>
      <c r="CT1405" s="1"/>
      <c r="CU1405" s="1"/>
      <c r="CV1405" s="1"/>
      <c r="CW1405" s="1"/>
      <c r="CX1405" s="1"/>
      <c r="CY1405" s="1"/>
      <c r="CZ1405" s="1"/>
      <c r="DA1405" s="1"/>
      <c r="DB1405" s="1"/>
      <c r="DC1405" s="1"/>
      <c r="DD1405" s="1"/>
      <c r="DE1405" s="1"/>
      <c r="DF1405" s="1"/>
      <c r="DG1405" s="1"/>
      <c r="DH1405" s="1"/>
      <c r="DI1405" s="1"/>
      <c r="DJ1405" s="1"/>
      <c r="DK1405" s="1"/>
      <c r="DL1405" s="1"/>
      <c r="DM1405" s="1"/>
      <c r="DN1405" s="1"/>
      <c r="DO1405" s="1"/>
      <c r="DP1405" s="1"/>
      <c r="DQ1405" s="1"/>
      <c r="DR1405" s="1"/>
      <c r="DS1405" s="1"/>
      <c r="DT1405" s="1"/>
      <c r="DU1405" s="1"/>
      <c r="DV1405" s="1"/>
      <c r="DW1405" s="1"/>
      <c r="DX1405" s="1"/>
      <c r="DY1405" s="1"/>
      <c r="DZ1405" s="1"/>
      <c r="EA1405" s="1"/>
      <c r="EB1405" s="1"/>
      <c r="EC1405" s="1"/>
      <c r="ED1405" s="1"/>
      <c r="EE1405" s="1"/>
      <c r="EF1405" s="1"/>
      <c r="EG1405" s="1"/>
      <c r="EH1405" s="1"/>
      <c r="EI1405" s="1"/>
      <c r="EJ1405" s="1"/>
      <c r="EK1405" s="1"/>
      <c r="EL1405" s="1"/>
      <c r="EM1405" s="1"/>
      <c r="EN1405" s="1"/>
      <c r="EO1405" s="1"/>
      <c r="EP1405" s="1"/>
      <c r="EQ1405" s="1"/>
      <c r="ER1405" s="1"/>
      <c r="ES1405" s="1"/>
      <c r="ET1405" s="1"/>
      <c r="EU1405" s="1"/>
      <c r="EV1405" s="1"/>
      <c r="EW1405" s="1"/>
      <c r="EX1405" s="1"/>
      <c r="EY1405" s="1"/>
      <c r="EZ1405" s="1"/>
      <c r="FA1405" s="1"/>
      <c r="FB1405" s="1"/>
      <c r="FC1405" s="1"/>
      <c r="FD1405" s="1"/>
      <c r="FE1405" s="1"/>
      <c r="FF1405" s="1"/>
      <c r="FG1405" s="1"/>
      <c r="FH1405" s="1"/>
      <c r="FI1405" s="1"/>
      <c r="FJ1405" s="1"/>
      <c r="FK1405" s="1"/>
      <c r="FL1405" s="1"/>
      <c r="FM1405" s="1"/>
      <c r="FN1405" s="1"/>
      <c r="FO1405" s="1"/>
      <c r="FP1405" s="1"/>
      <c r="FQ1405" s="1"/>
      <c r="FR1405" s="1"/>
      <c r="FS1405" s="1"/>
      <c r="FT1405" s="1"/>
      <c r="FU1405" s="1"/>
      <c r="FV1405" s="1"/>
      <c r="FW1405" s="1"/>
      <c r="FX1405" s="1"/>
      <c r="FY1405" s="1"/>
      <c r="FZ1405" s="1"/>
      <c r="GA1405" s="1"/>
      <c r="GB1405" s="1"/>
      <c r="GC1405" s="1"/>
      <c r="GD1405" s="1"/>
      <c r="GE1405" s="1"/>
      <c r="GF1405" s="1"/>
      <c r="GG1405" s="1"/>
      <c r="GH1405" s="1"/>
      <c r="GI1405" s="1"/>
      <c r="GJ1405" s="1"/>
      <c r="GK1405" s="1"/>
      <c r="GL1405" s="1"/>
      <c r="GM1405" s="1"/>
      <c r="GN1405" s="1"/>
      <c r="GO1405" s="1"/>
      <c r="GP1405" s="1"/>
      <c r="GQ1405" s="1"/>
      <c r="GR1405" s="1"/>
      <c r="GS1405" s="1"/>
      <c r="GT1405" s="1"/>
      <c r="GU1405" s="1"/>
      <c r="GV1405" s="1"/>
      <c r="GW1405" s="1"/>
      <c r="GX1405" s="1"/>
      <c r="GY1405" s="1"/>
      <c r="GZ1405" s="1"/>
      <c r="HA1405" s="1"/>
      <c r="HB1405" s="1"/>
      <c r="HC1405" s="1"/>
      <c r="HD1405" s="1"/>
      <c r="HE1405" s="1"/>
      <c r="HF1405" s="1"/>
      <c r="HG1405" s="1"/>
      <c r="HH1405" s="1"/>
    </row>
    <row r="1406" spans="1:216" x14ac:dyDescent="0.3">
      <c r="A1406" s="3"/>
      <c r="B1406" s="1"/>
      <c r="C1406" s="1"/>
      <c r="D1406" s="1"/>
      <c r="E1406" s="1"/>
      <c r="F1406" s="1"/>
      <c r="G1406" s="1"/>
      <c r="H1406" s="1"/>
      <c r="I1406" s="1"/>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c r="CC1406" s="1"/>
      <c r="CD1406" s="1"/>
      <c r="CE1406" s="1"/>
      <c r="CF1406" s="1"/>
      <c r="CG1406" s="1"/>
      <c r="CH1406" s="1"/>
      <c r="CI1406" s="1"/>
      <c r="CJ1406" s="1"/>
      <c r="CK1406" s="1"/>
      <c r="CL1406" s="1"/>
      <c r="CM1406" s="1"/>
      <c r="CN1406" s="1"/>
      <c r="CO1406" s="1"/>
      <c r="CP1406" s="1"/>
      <c r="CQ1406" s="1"/>
      <c r="CR1406" s="1"/>
      <c r="CS1406" s="1"/>
      <c r="CT1406" s="1"/>
      <c r="CU1406" s="1"/>
      <c r="CV1406" s="1"/>
      <c r="CW1406" s="1"/>
      <c r="CX1406" s="1"/>
      <c r="CY1406" s="1"/>
      <c r="CZ1406" s="1"/>
      <c r="DA1406" s="1"/>
      <c r="DB1406" s="1"/>
      <c r="DC1406" s="1"/>
      <c r="DD1406" s="1"/>
      <c r="DE1406" s="1"/>
      <c r="DF1406" s="1"/>
      <c r="DG1406" s="1"/>
      <c r="DH1406" s="1"/>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c r="EF1406" s="1"/>
      <c r="EG1406" s="1"/>
      <c r="EH1406" s="1"/>
      <c r="EI1406" s="1"/>
      <c r="EJ1406" s="1"/>
      <c r="EK1406" s="1"/>
      <c r="EL1406" s="1"/>
      <c r="EM1406" s="1"/>
      <c r="EN1406" s="1"/>
      <c r="EO1406" s="1"/>
      <c r="EP1406" s="1"/>
      <c r="EQ1406" s="1"/>
      <c r="ER1406" s="1"/>
      <c r="ES1406" s="1"/>
      <c r="ET1406" s="1"/>
      <c r="EU1406" s="1"/>
      <c r="EV1406" s="1"/>
      <c r="EW1406" s="1"/>
      <c r="EX1406" s="1"/>
      <c r="EY1406" s="1"/>
      <c r="EZ1406" s="1"/>
      <c r="FA1406" s="1"/>
      <c r="FB1406" s="1"/>
      <c r="FC1406" s="1"/>
      <c r="FD1406" s="1"/>
      <c r="FE1406" s="1"/>
      <c r="FF1406" s="1"/>
      <c r="FG1406" s="1"/>
      <c r="FH1406" s="1"/>
      <c r="FI1406" s="1"/>
      <c r="FJ1406" s="1"/>
      <c r="FK1406" s="1"/>
      <c r="FL1406" s="1"/>
      <c r="FM1406" s="1"/>
      <c r="FN1406" s="1"/>
      <c r="FO1406" s="1"/>
      <c r="FP1406" s="1"/>
      <c r="FQ1406" s="1"/>
      <c r="FR1406" s="1"/>
      <c r="FS1406" s="1"/>
      <c r="FT1406" s="1"/>
      <c r="FU1406" s="1"/>
      <c r="FV1406" s="1"/>
      <c r="FW1406" s="1"/>
      <c r="FX1406" s="1"/>
      <c r="FY1406" s="1"/>
      <c r="FZ1406" s="1"/>
      <c r="GA1406" s="1"/>
      <c r="GB1406" s="1"/>
      <c r="GC1406" s="1"/>
      <c r="GD1406" s="1"/>
      <c r="GE1406" s="1"/>
      <c r="GF1406" s="1"/>
      <c r="GG1406" s="1"/>
      <c r="GH1406" s="1"/>
      <c r="GI1406" s="1"/>
      <c r="GJ1406" s="1"/>
      <c r="GK1406" s="1"/>
      <c r="GL1406" s="1"/>
      <c r="GM1406" s="1"/>
      <c r="GN1406" s="1"/>
      <c r="GO1406" s="1"/>
      <c r="GP1406" s="1"/>
      <c r="GQ1406" s="1"/>
      <c r="GR1406" s="1"/>
      <c r="GS1406" s="1"/>
      <c r="GT1406" s="1"/>
      <c r="GU1406" s="1"/>
      <c r="GV1406" s="1"/>
      <c r="GW1406" s="1"/>
      <c r="GX1406" s="1"/>
      <c r="GY1406" s="1"/>
      <c r="GZ1406" s="1"/>
      <c r="HA1406" s="1"/>
      <c r="HB1406" s="1"/>
      <c r="HC1406" s="1"/>
      <c r="HD1406" s="1"/>
      <c r="HE1406" s="1"/>
      <c r="HF1406" s="1"/>
      <c r="HG1406" s="1"/>
      <c r="HH1406" s="1"/>
    </row>
    <row r="1407" spans="1:216" x14ac:dyDescent="0.3">
      <c r="A1407" s="3"/>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1"/>
      <c r="CG1407" s="1"/>
      <c r="CH1407" s="1"/>
      <c r="CI1407" s="1"/>
      <c r="CJ1407" s="1"/>
      <c r="CK1407" s="1"/>
      <c r="CL1407" s="1"/>
      <c r="CM1407" s="1"/>
      <c r="CN1407" s="1"/>
      <c r="CO1407" s="1"/>
      <c r="CP1407" s="1"/>
      <c r="CQ1407" s="1"/>
      <c r="CR1407" s="1"/>
      <c r="CS1407" s="1"/>
      <c r="CT1407" s="1"/>
      <c r="CU1407" s="1"/>
      <c r="CV1407" s="1"/>
      <c r="CW1407" s="1"/>
      <c r="CX1407" s="1"/>
      <c r="CY1407" s="1"/>
      <c r="CZ1407" s="1"/>
      <c r="DA1407" s="1"/>
      <c r="DB1407" s="1"/>
      <c r="DC1407" s="1"/>
      <c r="DD1407" s="1"/>
      <c r="DE1407" s="1"/>
      <c r="DF1407" s="1"/>
      <c r="DG1407" s="1"/>
      <c r="DH1407" s="1"/>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1"/>
      <c r="EI1407" s="1"/>
      <c r="EJ1407" s="1"/>
      <c r="EK1407" s="1"/>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c r="FN1407" s="1"/>
      <c r="FO1407" s="1"/>
      <c r="FP1407" s="1"/>
      <c r="FQ1407" s="1"/>
      <c r="FR1407" s="1"/>
      <c r="FS1407" s="1"/>
      <c r="FT1407" s="1"/>
      <c r="FU1407" s="1"/>
      <c r="FV1407" s="1"/>
      <c r="FW1407" s="1"/>
      <c r="FX1407" s="1"/>
      <c r="FY1407" s="1"/>
      <c r="FZ1407" s="1"/>
      <c r="GA1407" s="1"/>
      <c r="GB1407" s="1"/>
      <c r="GC1407" s="1"/>
      <c r="GD1407" s="1"/>
      <c r="GE1407" s="1"/>
      <c r="GF1407" s="1"/>
      <c r="GG1407" s="1"/>
      <c r="GH1407" s="1"/>
      <c r="GI1407" s="1"/>
      <c r="GJ1407" s="1"/>
      <c r="GK1407" s="1"/>
      <c r="GL1407" s="1"/>
      <c r="GM1407" s="1"/>
      <c r="GN1407" s="1"/>
      <c r="GO1407" s="1"/>
      <c r="GP1407" s="1"/>
      <c r="GQ1407" s="1"/>
      <c r="GR1407" s="1"/>
      <c r="GS1407" s="1"/>
      <c r="GT1407" s="1"/>
      <c r="GU1407" s="1"/>
      <c r="GV1407" s="1"/>
      <c r="GW1407" s="1"/>
      <c r="GX1407" s="1"/>
      <c r="GY1407" s="1"/>
      <c r="GZ1407" s="1"/>
      <c r="HA1407" s="1"/>
      <c r="HB1407" s="1"/>
      <c r="HC1407" s="1"/>
      <c r="HD1407" s="1"/>
      <c r="HE1407" s="1"/>
      <c r="HF1407" s="1"/>
      <c r="HG1407" s="1"/>
      <c r="HH1407" s="1"/>
    </row>
    <row r="1408" spans="1:216" x14ac:dyDescent="0.3">
      <c r="A1408" s="3"/>
      <c r="B1408" s="1"/>
      <c r="C1408" s="1"/>
      <c r="D1408" s="1"/>
      <c r="E1408" s="1"/>
      <c r="F1408" s="1"/>
      <c r="G1408" s="1"/>
      <c r="H1408" s="1"/>
      <c r="I1408" s="1"/>
      <c r="J1408" s="1"/>
      <c r="K1408" s="1"/>
      <c r="L1408" s="1"/>
      <c r="M1408" s="1"/>
      <c r="N1408" s="1"/>
      <c r="O1408" s="1"/>
      <c r="P1408" s="1"/>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c r="CC1408" s="1"/>
      <c r="CD1408" s="1"/>
      <c r="CE1408" s="1"/>
      <c r="CF1408" s="1"/>
      <c r="CG1408" s="1"/>
      <c r="CH1408" s="1"/>
      <c r="CI1408" s="1"/>
      <c r="CJ1408" s="1"/>
      <c r="CK1408" s="1"/>
      <c r="CL1408" s="1"/>
      <c r="CM1408" s="1"/>
      <c r="CN1408" s="1"/>
      <c r="CO1408" s="1"/>
      <c r="CP1408" s="1"/>
      <c r="CQ1408" s="1"/>
      <c r="CR1408" s="1"/>
      <c r="CS1408" s="1"/>
      <c r="CT1408" s="1"/>
      <c r="CU1408" s="1"/>
      <c r="CV1408" s="1"/>
      <c r="CW1408" s="1"/>
      <c r="CX1408" s="1"/>
      <c r="CY1408" s="1"/>
      <c r="CZ1408" s="1"/>
      <c r="DA1408" s="1"/>
      <c r="DB1408" s="1"/>
      <c r="DC1408" s="1"/>
      <c r="DD1408" s="1"/>
      <c r="DE1408" s="1"/>
      <c r="DF1408" s="1"/>
      <c r="DG1408" s="1"/>
      <c r="DH1408" s="1"/>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1"/>
      <c r="EI1408" s="1"/>
      <c r="EJ1408" s="1"/>
      <c r="EK1408" s="1"/>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1"/>
      <c r="GD1408" s="1"/>
      <c r="GE1408" s="1"/>
      <c r="GF1408" s="1"/>
      <c r="GG1408" s="1"/>
      <c r="GH1408" s="1"/>
      <c r="GI1408" s="1"/>
      <c r="GJ1408" s="1"/>
      <c r="GK1408" s="1"/>
      <c r="GL1408" s="1"/>
      <c r="GM1408" s="1"/>
      <c r="GN1408" s="1"/>
      <c r="GO1408" s="1"/>
      <c r="GP1408" s="1"/>
      <c r="GQ1408" s="1"/>
      <c r="GR1408" s="1"/>
      <c r="GS1408" s="1"/>
      <c r="GT1408" s="1"/>
      <c r="GU1408" s="1"/>
      <c r="GV1408" s="1"/>
      <c r="GW1408" s="1"/>
      <c r="GX1408" s="1"/>
      <c r="GY1408" s="1"/>
      <c r="GZ1408" s="1"/>
      <c r="HA1408" s="1"/>
      <c r="HB1408" s="1"/>
      <c r="HC1408" s="1"/>
      <c r="HD1408" s="1"/>
      <c r="HE1408" s="1"/>
      <c r="HF1408" s="1"/>
      <c r="HG1408" s="1"/>
      <c r="HH1408" s="1"/>
    </row>
    <row r="1409" spans="1:216" x14ac:dyDescent="0.3">
      <c r="A1409" s="3"/>
      <c r="B1409" s="1"/>
      <c r="C1409" s="1"/>
      <c r="D1409" s="1"/>
      <c r="E1409" s="1"/>
      <c r="F1409" s="1"/>
      <c r="G1409" s="1"/>
      <c r="H1409" s="1"/>
      <c r="I1409" s="1"/>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c r="CC1409" s="1"/>
      <c r="CD1409" s="1"/>
      <c r="CE1409" s="1"/>
      <c r="CF1409" s="1"/>
      <c r="CG1409" s="1"/>
      <c r="CH1409" s="1"/>
      <c r="CI1409" s="1"/>
      <c r="CJ1409" s="1"/>
      <c r="CK1409" s="1"/>
      <c r="CL1409" s="1"/>
      <c r="CM1409" s="1"/>
      <c r="CN1409" s="1"/>
      <c r="CO1409" s="1"/>
      <c r="CP1409" s="1"/>
      <c r="CQ1409" s="1"/>
      <c r="CR1409" s="1"/>
      <c r="CS1409" s="1"/>
      <c r="CT1409" s="1"/>
      <c r="CU1409" s="1"/>
      <c r="CV1409" s="1"/>
      <c r="CW1409" s="1"/>
      <c r="CX1409" s="1"/>
      <c r="CY1409" s="1"/>
      <c r="CZ1409" s="1"/>
      <c r="DA1409" s="1"/>
      <c r="DB1409" s="1"/>
      <c r="DC1409" s="1"/>
      <c r="DD1409" s="1"/>
      <c r="DE1409" s="1"/>
      <c r="DF1409" s="1"/>
      <c r="DG1409" s="1"/>
      <c r="DH1409" s="1"/>
      <c r="DI1409" s="1"/>
      <c r="DJ1409" s="1"/>
      <c r="DK1409" s="1"/>
      <c r="DL1409" s="1"/>
      <c r="DM1409" s="1"/>
      <c r="DN1409" s="1"/>
      <c r="DO1409" s="1"/>
      <c r="DP1409" s="1"/>
      <c r="DQ1409" s="1"/>
      <c r="DR1409" s="1"/>
      <c r="DS1409" s="1"/>
      <c r="DT1409" s="1"/>
      <c r="DU1409" s="1"/>
      <c r="DV1409" s="1"/>
      <c r="DW1409" s="1"/>
      <c r="DX1409" s="1"/>
      <c r="DY1409" s="1"/>
      <c r="DZ1409" s="1"/>
      <c r="EA1409" s="1"/>
      <c r="EB1409" s="1"/>
      <c r="EC1409" s="1"/>
      <c r="ED1409" s="1"/>
      <c r="EE1409" s="1"/>
      <c r="EF1409" s="1"/>
      <c r="EG1409" s="1"/>
      <c r="EH1409" s="1"/>
      <c r="EI1409" s="1"/>
      <c r="EJ1409" s="1"/>
      <c r="EK1409" s="1"/>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c r="FN1409" s="1"/>
      <c r="FO1409" s="1"/>
      <c r="FP1409" s="1"/>
      <c r="FQ1409" s="1"/>
      <c r="FR1409" s="1"/>
      <c r="FS1409" s="1"/>
      <c r="FT1409" s="1"/>
      <c r="FU1409" s="1"/>
      <c r="FV1409" s="1"/>
      <c r="FW1409" s="1"/>
      <c r="FX1409" s="1"/>
      <c r="FY1409" s="1"/>
      <c r="FZ1409" s="1"/>
      <c r="GA1409" s="1"/>
      <c r="GB1409" s="1"/>
      <c r="GC1409" s="1"/>
      <c r="GD1409" s="1"/>
      <c r="GE1409" s="1"/>
      <c r="GF1409" s="1"/>
      <c r="GG1409" s="1"/>
      <c r="GH1409" s="1"/>
      <c r="GI1409" s="1"/>
      <c r="GJ1409" s="1"/>
      <c r="GK1409" s="1"/>
      <c r="GL1409" s="1"/>
      <c r="GM1409" s="1"/>
      <c r="GN1409" s="1"/>
      <c r="GO1409" s="1"/>
      <c r="GP1409" s="1"/>
      <c r="GQ1409" s="1"/>
      <c r="GR1409" s="1"/>
      <c r="GS1409" s="1"/>
      <c r="GT1409" s="1"/>
      <c r="GU1409" s="1"/>
      <c r="GV1409" s="1"/>
      <c r="GW1409" s="1"/>
      <c r="GX1409" s="1"/>
      <c r="GY1409" s="1"/>
      <c r="GZ1409" s="1"/>
      <c r="HA1409" s="1"/>
      <c r="HB1409" s="1"/>
      <c r="HC1409" s="1"/>
      <c r="HD1409" s="1"/>
      <c r="HE1409" s="1"/>
      <c r="HF1409" s="1"/>
      <c r="HG1409" s="1"/>
      <c r="HH1409" s="1"/>
    </row>
    <row r="1410" spans="1:216" x14ac:dyDescent="0.3">
      <c r="A1410" s="3"/>
      <c r="B1410" s="1"/>
      <c r="C1410" s="1"/>
      <c r="D1410" s="1"/>
      <c r="E1410" s="1"/>
      <c r="F1410" s="1"/>
      <c r="G1410" s="1"/>
      <c r="H1410" s="1"/>
      <c r="I1410" s="1"/>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c r="CC1410" s="1"/>
      <c r="CD1410" s="1"/>
      <c r="CE1410" s="1"/>
      <c r="CF1410" s="1"/>
      <c r="CG1410" s="1"/>
      <c r="CH1410" s="1"/>
      <c r="CI1410" s="1"/>
      <c r="CJ1410" s="1"/>
      <c r="CK1410" s="1"/>
      <c r="CL1410" s="1"/>
      <c r="CM1410" s="1"/>
      <c r="CN1410" s="1"/>
      <c r="CO1410" s="1"/>
      <c r="CP1410" s="1"/>
      <c r="CQ1410" s="1"/>
      <c r="CR1410" s="1"/>
      <c r="CS1410" s="1"/>
      <c r="CT1410" s="1"/>
      <c r="CU1410" s="1"/>
      <c r="CV1410" s="1"/>
      <c r="CW1410" s="1"/>
      <c r="CX1410" s="1"/>
      <c r="CY1410" s="1"/>
      <c r="CZ1410" s="1"/>
      <c r="DA1410" s="1"/>
      <c r="DB1410" s="1"/>
      <c r="DC1410" s="1"/>
      <c r="DD1410" s="1"/>
      <c r="DE1410" s="1"/>
      <c r="DF1410" s="1"/>
      <c r="DG1410" s="1"/>
      <c r="DH1410" s="1"/>
      <c r="DI1410" s="1"/>
      <c r="DJ1410" s="1"/>
      <c r="DK1410" s="1"/>
      <c r="DL1410" s="1"/>
      <c r="DM1410" s="1"/>
      <c r="DN1410" s="1"/>
      <c r="DO1410" s="1"/>
      <c r="DP1410" s="1"/>
      <c r="DQ1410" s="1"/>
      <c r="DR1410" s="1"/>
      <c r="DS1410" s="1"/>
      <c r="DT1410" s="1"/>
      <c r="DU1410" s="1"/>
      <c r="DV1410" s="1"/>
      <c r="DW1410" s="1"/>
      <c r="DX1410" s="1"/>
      <c r="DY1410" s="1"/>
      <c r="DZ1410" s="1"/>
      <c r="EA1410" s="1"/>
      <c r="EB1410" s="1"/>
      <c r="EC1410" s="1"/>
      <c r="ED1410" s="1"/>
      <c r="EE1410" s="1"/>
      <c r="EF1410" s="1"/>
      <c r="EG1410" s="1"/>
      <c r="EH1410" s="1"/>
      <c r="EI1410" s="1"/>
      <c r="EJ1410" s="1"/>
      <c r="EK1410" s="1"/>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c r="FN1410" s="1"/>
      <c r="FO1410" s="1"/>
      <c r="FP1410" s="1"/>
      <c r="FQ1410" s="1"/>
      <c r="FR1410" s="1"/>
      <c r="FS1410" s="1"/>
      <c r="FT1410" s="1"/>
      <c r="FU1410" s="1"/>
      <c r="FV1410" s="1"/>
      <c r="FW1410" s="1"/>
      <c r="FX1410" s="1"/>
      <c r="FY1410" s="1"/>
      <c r="FZ1410" s="1"/>
      <c r="GA1410" s="1"/>
      <c r="GB1410" s="1"/>
      <c r="GC1410" s="1"/>
      <c r="GD1410" s="1"/>
      <c r="GE1410" s="1"/>
      <c r="GF1410" s="1"/>
      <c r="GG1410" s="1"/>
      <c r="GH1410" s="1"/>
      <c r="GI1410" s="1"/>
      <c r="GJ1410" s="1"/>
      <c r="GK1410" s="1"/>
      <c r="GL1410" s="1"/>
      <c r="GM1410" s="1"/>
      <c r="GN1410" s="1"/>
      <c r="GO1410" s="1"/>
      <c r="GP1410" s="1"/>
      <c r="GQ1410" s="1"/>
      <c r="GR1410" s="1"/>
      <c r="GS1410" s="1"/>
      <c r="GT1410" s="1"/>
      <c r="GU1410" s="1"/>
      <c r="GV1410" s="1"/>
      <c r="GW1410" s="1"/>
      <c r="GX1410" s="1"/>
      <c r="GY1410" s="1"/>
      <c r="GZ1410" s="1"/>
      <c r="HA1410" s="1"/>
      <c r="HB1410" s="1"/>
      <c r="HC1410" s="1"/>
      <c r="HD1410" s="1"/>
      <c r="HE1410" s="1"/>
      <c r="HF1410" s="1"/>
      <c r="HG1410" s="1"/>
      <c r="HH1410" s="1"/>
    </row>
    <row r="1411" spans="1:216" x14ac:dyDescent="0.3">
      <c r="A1411" s="3"/>
      <c r="B1411" s="1"/>
      <c r="C1411" s="1"/>
      <c r="D1411" s="1"/>
      <c r="E1411" s="1"/>
      <c r="F1411" s="1"/>
      <c r="G1411" s="1"/>
      <c r="H1411" s="1"/>
      <c r="I1411" s="1"/>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c r="CC1411" s="1"/>
      <c r="CD1411" s="1"/>
      <c r="CE1411" s="1"/>
      <c r="CF1411" s="1"/>
      <c r="CG1411" s="1"/>
      <c r="CH1411" s="1"/>
      <c r="CI1411" s="1"/>
      <c r="CJ1411" s="1"/>
      <c r="CK1411" s="1"/>
      <c r="CL1411" s="1"/>
      <c r="CM1411" s="1"/>
      <c r="CN1411" s="1"/>
      <c r="CO1411" s="1"/>
      <c r="CP1411" s="1"/>
      <c r="CQ1411" s="1"/>
      <c r="CR1411" s="1"/>
      <c r="CS1411" s="1"/>
      <c r="CT1411" s="1"/>
      <c r="CU1411" s="1"/>
      <c r="CV1411" s="1"/>
      <c r="CW1411" s="1"/>
      <c r="CX1411" s="1"/>
      <c r="CY1411" s="1"/>
      <c r="CZ1411" s="1"/>
      <c r="DA1411" s="1"/>
      <c r="DB1411" s="1"/>
      <c r="DC1411" s="1"/>
      <c r="DD1411" s="1"/>
      <c r="DE1411" s="1"/>
      <c r="DF1411" s="1"/>
      <c r="DG1411" s="1"/>
      <c r="DH1411" s="1"/>
      <c r="DI1411" s="1"/>
      <c r="DJ1411" s="1"/>
      <c r="DK1411" s="1"/>
      <c r="DL1411" s="1"/>
      <c r="DM1411" s="1"/>
      <c r="DN1411" s="1"/>
      <c r="DO1411" s="1"/>
      <c r="DP1411" s="1"/>
      <c r="DQ1411" s="1"/>
      <c r="DR1411" s="1"/>
      <c r="DS1411" s="1"/>
      <c r="DT1411" s="1"/>
      <c r="DU1411" s="1"/>
      <c r="DV1411" s="1"/>
      <c r="DW1411" s="1"/>
      <c r="DX1411" s="1"/>
      <c r="DY1411" s="1"/>
      <c r="DZ1411" s="1"/>
      <c r="EA1411" s="1"/>
      <c r="EB1411" s="1"/>
      <c r="EC1411" s="1"/>
      <c r="ED1411" s="1"/>
      <c r="EE1411" s="1"/>
      <c r="EF1411" s="1"/>
      <c r="EG1411" s="1"/>
      <c r="EH1411" s="1"/>
      <c r="EI1411" s="1"/>
      <c r="EJ1411" s="1"/>
      <c r="EK1411" s="1"/>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c r="FS1411" s="1"/>
      <c r="FT1411" s="1"/>
      <c r="FU1411" s="1"/>
      <c r="FV1411" s="1"/>
      <c r="FW1411" s="1"/>
      <c r="FX1411" s="1"/>
      <c r="FY1411" s="1"/>
      <c r="FZ1411" s="1"/>
      <c r="GA1411" s="1"/>
      <c r="GB1411" s="1"/>
      <c r="GC1411" s="1"/>
      <c r="GD1411" s="1"/>
      <c r="GE1411" s="1"/>
      <c r="GF1411" s="1"/>
      <c r="GG1411" s="1"/>
      <c r="GH1411" s="1"/>
      <c r="GI1411" s="1"/>
      <c r="GJ1411" s="1"/>
      <c r="GK1411" s="1"/>
      <c r="GL1411" s="1"/>
      <c r="GM1411" s="1"/>
      <c r="GN1411" s="1"/>
      <c r="GO1411" s="1"/>
      <c r="GP1411" s="1"/>
      <c r="GQ1411" s="1"/>
      <c r="GR1411" s="1"/>
      <c r="GS1411" s="1"/>
      <c r="GT1411" s="1"/>
      <c r="GU1411" s="1"/>
      <c r="GV1411" s="1"/>
      <c r="GW1411" s="1"/>
      <c r="GX1411" s="1"/>
      <c r="GY1411" s="1"/>
      <c r="GZ1411" s="1"/>
      <c r="HA1411" s="1"/>
      <c r="HB1411" s="1"/>
      <c r="HC1411" s="1"/>
      <c r="HD1411" s="1"/>
      <c r="HE1411" s="1"/>
      <c r="HF1411" s="1"/>
      <c r="HG1411" s="1"/>
      <c r="HH1411" s="1"/>
    </row>
    <row r="1412" spans="1:216" x14ac:dyDescent="0.3">
      <c r="A1412" s="3"/>
      <c r="B1412" s="1"/>
      <c r="C1412" s="1"/>
      <c r="D1412" s="1"/>
      <c r="E1412" s="1"/>
      <c r="F1412" s="1"/>
      <c r="G1412" s="1"/>
      <c r="H1412" s="1"/>
      <c r="I1412" s="1"/>
      <c r="J1412" s="1"/>
      <c r="K1412" s="1"/>
      <c r="L1412" s="1"/>
      <c r="M1412" s="1"/>
      <c r="N1412" s="1"/>
      <c r="O1412" s="1"/>
      <c r="P1412" s="1"/>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c r="CL1412" s="1"/>
      <c r="CM1412" s="1"/>
      <c r="CN1412" s="1"/>
      <c r="CO1412" s="1"/>
      <c r="CP1412" s="1"/>
      <c r="CQ1412" s="1"/>
      <c r="CR1412" s="1"/>
      <c r="CS1412" s="1"/>
      <c r="CT1412" s="1"/>
      <c r="CU1412" s="1"/>
      <c r="CV1412" s="1"/>
      <c r="CW1412" s="1"/>
      <c r="CX1412" s="1"/>
      <c r="CY1412" s="1"/>
      <c r="CZ1412" s="1"/>
      <c r="DA1412" s="1"/>
      <c r="DB1412" s="1"/>
      <c r="DC1412" s="1"/>
      <c r="DD1412" s="1"/>
      <c r="DE1412" s="1"/>
      <c r="DF1412" s="1"/>
      <c r="DG1412" s="1"/>
      <c r="DH1412" s="1"/>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c r="EF1412" s="1"/>
      <c r="EG1412" s="1"/>
      <c r="EH1412" s="1"/>
      <c r="EI1412" s="1"/>
      <c r="EJ1412" s="1"/>
      <c r="EK1412" s="1"/>
      <c r="EL1412" s="1"/>
      <c r="EM1412" s="1"/>
      <c r="EN1412" s="1"/>
      <c r="EO1412" s="1"/>
      <c r="EP1412" s="1"/>
      <c r="EQ1412" s="1"/>
      <c r="ER1412" s="1"/>
      <c r="ES1412" s="1"/>
      <c r="ET1412" s="1"/>
      <c r="EU1412" s="1"/>
      <c r="EV1412" s="1"/>
      <c r="EW1412" s="1"/>
      <c r="EX1412" s="1"/>
      <c r="EY1412" s="1"/>
      <c r="EZ1412" s="1"/>
      <c r="FA1412" s="1"/>
      <c r="FB1412" s="1"/>
      <c r="FC1412" s="1"/>
      <c r="FD1412" s="1"/>
      <c r="FE1412" s="1"/>
      <c r="FF1412" s="1"/>
      <c r="FG1412" s="1"/>
      <c r="FH1412" s="1"/>
      <c r="FI1412" s="1"/>
      <c r="FJ1412" s="1"/>
      <c r="FK1412" s="1"/>
      <c r="FL1412" s="1"/>
      <c r="FM1412" s="1"/>
      <c r="FN1412" s="1"/>
      <c r="FO1412" s="1"/>
      <c r="FP1412" s="1"/>
      <c r="FQ1412" s="1"/>
      <c r="FR1412" s="1"/>
      <c r="FS1412" s="1"/>
      <c r="FT1412" s="1"/>
      <c r="FU1412" s="1"/>
      <c r="FV1412" s="1"/>
      <c r="FW1412" s="1"/>
      <c r="FX1412" s="1"/>
      <c r="FY1412" s="1"/>
      <c r="FZ1412" s="1"/>
      <c r="GA1412" s="1"/>
      <c r="GB1412" s="1"/>
      <c r="GC1412" s="1"/>
      <c r="GD1412" s="1"/>
      <c r="GE1412" s="1"/>
      <c r="GF1412" s="1"/>
      <c r="GG1412" s="1"/>
      <c r="GH1412" s="1"/>
      <c r="GI1412" s="1"/>
      <c r="GJ1412" s="1"/>
      <c r="GK1412" s="1"/>
      <c r="GL1412" s="1"/>
      <c r="GM1412" s="1"/>
      <c r="GN1412" s="1"/>
      <c r="GO1412" s="1"/>
      <c r="GP1412" s="1"/>
      <c r="GQ1412" s="1"/>
      <c r="GR1412" s="1"/>
      <c r="GS1412" s="1"/>
      <c r="GT1412" s="1"/>
      <c r="GU1412" s="1"/>
      <c r="GV1412" s="1"/>
      <c r="GW1412" s="1"/>
      <c r="GX1412" s="1"/>
      <c r="GY1412" s="1"/>
      <c r="GZ1412" s="1"/>
      <c r="HA1412" s="1"/>
      <c r="HB1412" s="1"/>
      <c r="HC1412" s="1"/>
      <c r="HD1412" s="1"/>
      <c r="HE1412" s="1"/>
      <c r="HF1412" s="1"/>
      <c r="HG1412" s="1"/>
      <c r="HH1412" s="1"/>
    </row>
    <row r="1413" spans="1:216" x14ac:dyDescent="0.3">
      <c r="A1413" s="3"/>
      <c r="B1413" s="1"/>
      <c r="C1413" s="1"/>
      <c r="D1413" s="1"/>
      <c r="E1413" s="1"/>
      <c r="F1413" s="1"/>
      <c r="G1413" s="1"/>
      <c r="H1413" s="1"/>
      <c r="I1413" s="1"/>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1"/>
      <c r="CG1413" s="1"/>
      <c r="CH1413" s="1"/>
      <c r="CI1413" s="1"/>
      <c r="CJ1413" s="1"/>
      <c r="CK1413" s="1"/>
      <c r="CL1413" s="1"/>
      <c r="CM1413" s="1"/>
      <c r="CN1413" s="1"/>
      <c r="CO1413" s="1"/>
      <c r="CP1413" s="1"/>
      <c r="CQ1413" s="1"/>
      <c r="CR1413" s="1"/>
      <c r="CS1413" s="1"/>
      <c r="CT1413" s="1"/>
      <c r="CU1413" s="1"/>
      <c r="CV1413" s="1"/>
      <c r="CW1413" s="1"/>
      <c r="CX1413" s="1"/>
      <c r="CY1413" s="1"/>
      <c r="CZ1413" s="1"/>
      <c r="DA1413" s="1"/>
      <c r="DB1413" s="1"/>
      <c r="DC1413" s="1"/>
      <c r="DD1413" s="1"/>
      <c r="DE1413" s="1"/>
      <c r="DF1413" s="1"/>
      <c r="DG1413" s="1"/>
      <c r="DH1413" s="1"/>
      <c r="DI1413" s="1"/>
      <c r="DJ1413" s="1"/>
      <c r="DK1413" s="1"/>
      <c r="DL1413" s="1"/>
      <c r="DM1413" s="1"/>
      <c r="DN1413" s="1"/>
      <c r="DO1413" s="1"/>
      <c r="DP1413" s="1"/>
      <c r="DQ1413" s="1"/>
      <c r="DR1413" s="1"/>
      <c r="DS1413" s="1"/>
      <c r="DT1413" s="1"/>
      <c r="DU1413" s="1"/>
      <c r="DV1413" s="1"/>
      <c r="DW1413" s="1"/>
      <c r="DX1413" s="1"/>
      <c r="DY1413" s="1"/>
      <c r="DZ1413" s="1"/>
      <c r="EA1413" s="1"/>
      <c r="EB1413" s="1"/>
      <c r="EC1413" s="1"/>
      <c r="ED1413" s="1"/>
      <c r="EE1413" s="1"/>
      <c r="EF1413" s="1"/>
      <c r="EG1413" s="1"/>
      <c r="EH1413" s="1"/>
      <c r="EI1413" s="1"/>
      <c r="EJ1413" s="1"/>
      <c r="EK1413" s="1"/>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c r="FN1413" s="1"/>
      <c r="FO1413" s="1"/>
      <c r="FP1413" s="1"/>
      <c r="FQ1413" s="1"/>
      <c r="FR1413" s="1"/>
      <c r="FS1413" s="1"/>
      <c r="FT1413" s="1"/>
      <c r="FU1413" s="1"/>
      <c r="FV1413" s="1"/>
      <c r="FW1413" s="1"/>
      <c r="FX1413" s="1"/>
      <c r="FY1413" s="1"/>
      <c r="FZ1413" s="1"/>
      <c r="GA1413" s="1"/>
      <c r="GB1413" s="1"/>
      <c r="GC1413" s="1"/>
      <c r="GD1413" s="1"/>
      <c r="GE1413" s="1"/>
      <c r="GF1413" s="1"/>
      <c r="GG1413" s="1"/>
      <c r="GH1413" s="1"/>
      <c r="GI1413" s="1"/>
      <c r="GJ1413" s="1"/>
      <c r="GK1413" s="1"/>
      <c r="GL1413" s="1"/>
      <c r="GM1413" s="1"/>
      <c r="GN1413" s="1"/>
      <c r="GO1413" s="1"/>
      <c r="GP1413" s="1"/>
      <c r="GQ1413" s="1"/>
      <c r="GR1413" s="1"/>
      <c r="GS1413" s="1"/>
      <c r="GT1413" s="1"/>
      <c r="GU1413" s="1"/>
      <c r="GV1413" s="1"/>
      <c r="GW1413" s="1"/>
      <c r="GX1413" s="1"/>
      <c r="GY1413" s="1"/>
      <c r="GZ1413" s="1"/>
      <c r="HA1413" s="1"/>
      <c r="HB1413" s="1"/>
      <c r="HC1413" s="1"/>
      <c r="HD1413" s="1"/>
      <c r="HE1413" s="1"/>
      <c r="HF1413" s="1"/>
      <c r="HG1413" s="1"/>
      <c r="HH1413" s="1"/>
    </row>
    <row r="1414" spans="1:216" x14ac:dyDescent="0.3">
      <c r="A1414" s="3"/>
      <c r="B1414" s="1"/>
      <c r="C1414" s="1"/>
      <c r="D1414" s="1"/>
      <c r="E1414" s="1"/>
      <c r="F1414" s="1"/>
      <c r="G1414" s="1"/>
      <c r="H1414" s="1"/>
      <c r="I1414" s="1"/>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c r="CC1414" s="1"/>
      <c r="CD1414" s="1"/>
      <c r="CE1414" s="1"/>
      <c r="CF1414" s="1"/>
      <c r="CG1414" s="1"/>
      <c r="CH1414" s="1"/>
      <c r="CI1414" s="1"/>
      <c r="CJ1414" s="1"/>
      <c r="CK1414" s="1"/>
      <c r="CL1414" s="1"/>
      <c r="CM1414" s="1"/>
      <c r="CN1414" s="1"/>
      <c r="CO1414" s="1"/>
      <c r="CP1414" s="1"/>
      <c r="CQ1414" s="1"/>
      <c r="CR1414" s="1"/>
      <c r="CS1414" s="1"/>
      <c r="CT1414" s="1"/>
      <c r="CU1414" s="1"/>
      <c r="CV1414" s="1"/>
      <c r="CW1414" s="1"/>
      <c r="CX1414" s="1"/>
      <c r="CY1414" s="1"/>
      <c r="CZ1414" s="1"/>
      <c r="DA1414" s="1"/>
      <c r="DB1414" s="1"/>
      <c r="DC1414" s="1"/>
      <c r="DD1414" s="1"/>
      <c r="DE1414" s="1"/>
      <c r="DF1414" s="1"/>
      <c r="DG1414" s="1"/>
      <c r="DH1414" s="1"/>
      <c r="DI1414" s="1"/>
      <c r="DJ1414" s="1"/>
      <c r="DK1414" s="1"/>
      <c r="DL1414" s="1"/>
      <c r="DM1414" s="1"/>
      <c r="DN1414" s="1"/>
      <c r="DO1414" s="1"/>
      <c r="DP1414" s="1"/>
      <c r="DQ1414" s="1"/>
      <c r="DR1414" s="1"/>
      <c r="DS1414" s="1"/>
      <c r="DT1414" s="1"/>
      <c r="DU1414" s="1"/>
      <c r="DV1414" s="1"/>
      <c r="DW1414" s="1"/>
      <c r="DX1414" s="1"/>
      <c r="DY1414" s="1"/>
      <c r="DZ1414" s="1"/>
      <c r="EA1414" s="1"/>
      <c r="EB1414" s="1"/>
      <c r="EC1414" s="1"/>
      <c r="ED1414" s="1"/>
      <c r="EE1414" s="1"/>
      <c r="EF1414" s="1"/>
      <c r="EG1414" s="1"/>
      <c r="EH1414" s="1"/>
      <c r="EI1414" s="1"/>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1"/>
      <c r="GD1414" s="1"/>
      <c r="GE1414" s="1"/>
      <c r="GF1414" s="1"/>
      <c r="GG1414" s="1"/>
      <c r="GH1414" s="1"/>
      <c r="GI1414" s="1"/>
      <c r="GJ1414" s="1"/>
      <c r="GK1414" s="1"/>
      <c r="GL1414" s="1"/>
      <c r="GM1414" s="1"/>
      <c r="GN1414" s="1"/>
      <c r="GO1414" s="1"/>
      <c r="GP1414" s="1"/>
      <c r="GQ1414" s="1"/>
      <c r="GR1414" s="1"/>
      <c r="GS1414" s="1"/>
      <c r="GT1414" s="1"/>
      <c r="GU1414" s="1"/>
      <c r="GV1414" s="1"/>
      <c r="GW1414" s="1"/>
      <c r="GX1414" s="1"/>
      <c r="GY1414" s="1"/>
      <c r="GZ1414" s="1"/>
      <c r="HA1414" s="1"/>
      <c r="HB1414" s="1"/>
      <c r="HC1414" s="1"/>
      <c r="HD1414" s="1"/>
      <c r="HE1414" s="1"/>
      <c r="HF1414" s="1"/>
      <c r="HG1414" s="1"/>
      <c r="HH1414" s="1"/>
    </row>
    <row r="1415" spans="1:216" x14ac:dyDescent="0.3">
      <c r="A1415" s="3"/>
      <c r="B1415" s="1"/>
      <c r="C1415" s="1"/>
      <c r="D1415" s="1"/>
      <c r="E1415" s="1"/>
      <c r="F1415" s="1"/>
      <c r="G1415" s="1"/>
      <c r="H1415" s="1"/>
      <c r="I1415" s="1"/>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1"/>
      <c r="CG1415" s="1"/>
      <c r="CH1415" s="1"/>
      <c r="CI1415" s="1"/>
      <c r="CJ1415" s="1"/>
      <c r="CK1415" s="1"/>
      <c r="CL1415" s="1"/>
      <c r="CM1415" s="1"/>
      <c r="CN1415" s="1"/>
      <c r="CO1415" s="1"/>
      <c r="CP1415" s="1"/>
      <c r="CQ1415" s="1"/>
      <c r="CR1415" s="1"/>
      <c r="CS1415" s="1"/>
      <c r="CT1415" s="1"/>
      <c r="CU1415" s="1"/>
      <c r="CV1415" s="1"/>
      <c r="CW1415" s="1"/>
      <c r="CX1415" s="1"/>
      <c r="CY1415" s="1"/>
      <c r="CZ1415" s="1"/>
      <c r="DA1415" s="1"/>
      <c r="DB1415" s="1"/>
      <c r="DC1415" s="1"/>
      <c r="DD1415" s="1"/>
      <c r="DE1415" s="1"/>
      <c r="DF1415" s="1"/>
      <c r="DG1415" s="1"/>
      <c r="DH1415" s="1"/>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1"/>
      <c r="EI1415" s="1"/>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1"/>
      <c r="GD1415" s="1"/>
      <c r="GE1415" s="1"/>
      <c r="GF1415" s="1"/>
      <c r="GG1415" s="1"/>
      <c r="GH1415" s="1"/>
      <c r="GI1415" s="1"/>
      <c r="GJ1415" s="1"/>
      <c r="GK1415" s="1"/>
      <c r="GL1415" s="1"/>
      <c r="GM1415" s="1"/>
      <c r="GN1415" s="1"/>
      <c r="GO1415" s="1"/>
      <c r="GP1415" s="1"/>
      <c r="GQ1415" s="1"/>
      <c r="GR1415" s="1"/>
      <c r="GS1415" s="1"/>
      <c r="GT1415" s="1"/>
      <c r="GU1415" s="1"/>
      <c r="GV1415" s="1"/>
      <c r="GW1415" s="1"/>
      <c r="GX1415" s="1"/>
      <c r="GY1415" s="1"/>
      <c r="GZ1415" s="1"/>
      <c r="HA1415" s="1"/>
      <c r="HB1415" s="1"/>
      <c r="HC1415" s="1"/>
      <c r="HD1415" s="1"/>
      <c r="HE1415" s="1"/>
      <c r="HF1415" s="1"/>
      <c r="HG1415" s="1"/>
      <c r="HH1415" s="1"/>
    </row>
    <row r="1416" spans="1:216" x14ac:dyDescent="0.3">
      <c r="A1416" s="3"/>
      <c r="B1416" s="1"/>
      <c r="C1416" s="1"/>
      <c r="D1416" s="1"/>
      <c r="E1416" s="1"/>
      <c r="F1416" s="1"/>
      <c r="G1416" s="1"/>
      <c r="H1416" s="1"/>
      <c r="I1416" s="1"/>
      <c r="J1416" s="1"/>
      <c r="K1416" s="1"/>
      <c r="L1416" s="1"/>
      <c r="M1416" s="1"/>
      <c r="N1416" s="1"/>
      <c r="O1416" s="1"/>
      <c r="P1416" s="1"/>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c r="CC1416" s="1"/>
      <c r="CD1416" s="1"/>
      <c r="CE1416" s="1"/>
      <c r="CF1416" s="1"/>
      <c r="CG1416" s="1"/>
      <c r="CH1416" s="1"/>
      <c r="CI1416" s="1"/>
      <c r="CJ1416" s="1"/>
      <c r="CK1416" s="1"/>
      <c r="CL1416" s="1"/>
      <c r="CM1416" s="1"/>
      <c r="CN1416" s="1"/>
      <c r="CO1416" s="1"/>
      <c r="CP1416" s="1"/>
      <c r="CQ1416" s="1"/>
      <c r="CR1416" s="1"/>
      <c r="CS1416" s="1"/>
      <c r="CT1416" s="1"/>
      <c r="CU1416" s="1"/>
      <c r="CV1416" s="1"/>
      <c r="CW1416" s="1"/>
      <c r="CX1416" s="1"/>
      <c r="CY1416" s="1"/>
      <c r="CZ1416" s="1"/>
      <c r="DA1416" s="1"/>
      <c r="DB1416" s="1"/>
      <c r="DC1416" s="1"/>
      <c r="DD1416" s="1"/>
      <c r="DE1416" s="1"/>
      <c r="DF1416" s="1"/>
      <c r="DG1416" s="1"/>
      <c r="DH1416" s="1"/>
      <c r="DI1416" s="1"/>
      <c r="DJ1416" s="1"/>
      <c r="DK1416" s="1"/>
      <c r="DL1416" s="1"/>
      <c r="DM1416" s="1"/>
      <c r="DN1416" s="1"/>
      <c r="DO1416" s="1"/>
      <c r="DP1416" s="1"/>
      <c r="DQ1416" s="1"/>
      <c r="DR1416" s="1"/>
      <c r="DS1416" s="1"/>
      <c r="DT1416" s="1"/>
      <c r="DU1416" s="1"/>
      <c r="DV1416" s="1"/>
      <c r="DW1416" s="1"/>
      <c r="DX1416" s="1"/>
      <c r="DY1416" s="1"/>
      <c r="DZ1416" s="1"/>
      <c r="EA1416" s="1"/>
      <c r="EB1416" s="1"/>
      <c r="EC1416" s="1"/>
      <c r="ED1416" s="1"/>
      <c r="EE1416" s="1"/>
      <c r="EF1416" s="1"/>
      <c r="EG1416" s="1"/>
      <c r="EH1416" s="1"/>
      <c r="EI1416" s="1"/>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1"/>
      <c r="GD1416" s="1"/>
      <c r="GE1416" s="1"/>
      <c r="GF1416" s="1"/>
      <c r="GG1416" s="1"/>
      <c r="GH1416" s="1"/>
      <c r="GI1416" s="1"/>
      <c r="GJ1416" s="1"/>
      <c r="GK1416" s="1"/>
      <c r="GL1416" s="1"/>
      <c r="GM1416" s="1"/>
      <c r="GN1416" s="1"/>
      <c r="GO1416" s="1"/>
      <c r="GP1416" s="1"/>
      <c r="GQ1416" s="1"/>
      <c r="GR1416" s="1"/>
      <c r="GS1416" s="1"/>
      <c r="GT1416" s="1"/>
      <c r="GU1416" s="1"/>
      <c r="GV1416" s="1"/>
      <c r="GW1416" s="1"/>
      <c r="GX1416" s="1"/>
      <c r="GY1416" s="1"/>
      <c r="GZ1416" s="1"/>
      <c r="HA1416" s="1"/>
      <c r="HB1416" s="1"/>
      <c r="HC1416" s="1"/>
      <c r="HD1416" s="1"/>
      <c r="HE1416" s="1"/>
      <c r="HF1416" s="1"/>
      <c r="HG1416" s="1"/>
      <c r="HH1416" s="1"/>
    </row>
    <row r="1417" spans="1:216" x14ac:dyDescent="0.3">
      <c r="A1417" s="3"/>
      <c r="B1417" s="1"/>
      <c r="C1417" s="1"/>
      <c r="D1417" s="1"/>
      <c r="E1417" s="1"/>
      <c r="F1417" s="1"/>
      <c r="G1417" s="1"/>
      <c r="H1417" s="1"/>
      <c r="I1417" s="1"/>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1"/>
      <c r="CG1417" s="1"/>
      <c r="CH1417" s="1"/>
      <c r="CI1417" s="1"/>
      <c r="CJ1417" s="1"/>
      <c r="CK1417" s="1"/>
      <c r="CL1417" s="1"/>
      <c r="CM1417" s="1"/>
      <c r="CN1417" s="1"/>
      <c r="CO1417" s="1"/>
      <c r="CP1417" s="1"/>
      <c r="CQ1417" s="1"/>
      <c r="CR1417" s="1"/>
      <c r="CS1417" s="1"/>
      <c r="CT1417" s="1"/>
      <c r="CU1417" s="1"/>
      <c r="CV1417" s="1"/>
      <c r="CW1417" s="1"/>
      <c r="CX1417" s="1"/>
      <c r="CY1417" s="1"/>
      <c r="CZ1417" s="1"/>
      <c r="DA1417" s="1"/>
      <c r="DB1417" s="1"/>
      <c r="DC1417" s="1"/>
      <c r="DD1417" s="1"/>
      <c r="DE1417" s="1"/>
      <c r="DF1417" s="1"/>
      <c r="DG1417" s="1"/>
      <c r="DH1417" s="1"/>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1"/>
      <c r="EI1417" s="1"/>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c r="FN1417" s="1"/>
      <c r="FO1417" s="1"/>
      <c r="FP1417" s="1"/>
      <c r="FQ1417" s="1"/>
      <c r="FR1417" s="1"/>
      <c r="FS1417" s="1"/>
      <c r="FT1417" s="1"/>
      <c r="FU1417" s="1"/>
      <c r="FV1417" s="1"/>
      <c r="FW1417" s="1"/>
      <c r="FX1417" s="1"/>
      <c r="FY1417" s="1"/>
      <c r="FZ1417" s="1"/>
      <c r="GA1417" s="1"/>
      <c r="GB1417" s="1"/>
      <c r="GC1417" s="1"/>
      <c r="GD1417" s="1"/>
      <c r="GE1417" s="1"/>
      <c r="GF1417" s="1"/>
      <c r="GG1417" s="1"/>
      <c r="GH1417" s="1"/>
      <c r="GI1417" s="1"/>
      <c r="GJ1417" s="1"/>
      <c r="GK1417" s="1"/>
      <c r="GL1417" s="1"/>
      <c r="GM1417" s="1"/>
      <c r="GN1417" s="1"/>
      <c r="GO1417" s="1"/>
      <c r="GP1417" s="1"/>
      <c r="GQ1417" s="1"/>
      <c r="GR1417" s="1"/>
      <c r="GS1417" s="1"/>
      <c r="GT1417" s="1"/>
      <c r="GU1417" s="1"/>
      <c r="GV1417" s="1"/>
      <c r="GW1417" s="1"/>
      <c r="GX1417" s="1"/>
      <c r="GY1417" s="1"/>
      <c r="GZ1417" s="1"/>
      <c r="HA1417" s="1"/>
      <c r="HB1417" s="1"/>
      <c r="HC1417" s="1"/>
      <c r="HD1417" s="1"/>
      <c r="HE1417" s="1"/>
      <c r="HF1417" s="1"/>
      <c r="HG1417" s="1"/>
      <c r="HH1417" s="1"/>
    </row>
    <row r="1418" spans="1:216" x14ac:dyDescent="0.3">
      <c r="A1418" s="3"/>
      <c r="B1418" s="1"/>
      <c r="C1418" s="1"/>
      <c r="D1418" s="1"/>
      <c r="E1418" s="1"/>
      <c r="F1418" s="1"/>
      <c r="G1418" s="1"/>
      <c r="H1418" s="1"/>
      <c r="I1418" s="1"/>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1"/>
      <c r="CG1418" s="1"/>
      <c r="CH1418" s="1"/>
      <c r="CI1418" s="1"/>
      <c r="CJ1418" s="1"/>
      <c r="CK1418" s="1"/>
      <c r="CL1418" s="1"/>
      <c r="CM1418" s="1"/>
      <c r="CN1418" s="1"/>
      <c r="CO1418" s="1"/>
      <c r="CP1418" s="1"/>
      <c r="CQ1418" s="1"/>
      <c r="CR1418" s="1"/>
      <c r="CS1418" s="1"/>
      <c r="CT1418" s="1"/>
      <c r="CU1418" s="1"/>
      <c r="CV1418" s="1"/>
      <c r="CW1418" s="1"/>
      <c r="CX1418" s="1"/>
      <c r="CY1418" s="1"/>
      <c r="CZ1418" s="1"/>
      <c r="DA1418" s="1"/>
      <c r="DB1418" s="1"/>
      <c r="DC1418" s="1"/>
      <c r="DD1418" s="1"/>
      <c r="DE1418" s="1"/>
      <c r="DF1418" s="1"/>
      <c r="DG1418" s="1"/>
      <c r="DH1418" s="1"/>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1"/>
      <c r="EI1418" s="1"/>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c r="FN1418" s="1"/>
      <c r="FO1418" s="1"/>
      <c r="FP1418" s="1"/>
      <c r="FQ1418" s="1"/>
      <c r="FR1418" s="1"/>
      <c r="FS1418" s="1"/>
      <c r="FT1418" s="1"/>
      <c r="FU1418" s="1"/>
      <c r="FV1418" s="1"/>
      <c r="FW1418" s="1"/>
      <c r="FX1418" s="1"/>
      <c r="FY1418" s="1"/>
      <c r="FZ1418" s="1"/>
      <c r="GA1418" s="1"/>
      <c r="GB1418" s="1"/>
      <c r="GC1418" s="1"/>
      <c r="GD1418" s="1"/>
      <c r="GE1418" s="1"/>
      <c r="GF1418" s="1"/>
      <c r="GG1418" s="1"/>
      <c r="GH1418" s="1"/>
      <c r="GI1418" s="1"/>
      <c r="GJ1418" s="1"/>
      <c r="GK1418" s="1"/>
      <c r="GL1418" s="1"/>
      <c r="GM1418" s="1"/>
      <c r="GN1418" s="1"/>
      <c r="GO1418" s="1"/>
      <c r="GP1418" s="1"/>
      <c r="GQ1418" s="1"/>
      <c r="GR1418" s="1"/>
      <c r="GS1418" s="1"/>
      <c r="GT1418" s="1"/>
      <c r="GU1418" s="1"/>
      <c r="GV1418" s="1"/>
      <c r="GW1418" s="1"/>
      <c r="GX1418" s="1"/>
      <c r="GY1418" s="1"/>
      <c r="GZ1418" s="1"/>
      <c r="HA1418" s="1"/>
      <c r="HB1418" s="1"/>
      <c r="HC1418" s="1"/>
      <c r="HD1418" s="1"/>
      <c r="HE1418" s="1"/>
      <c r="HF1418" s="1"/>
      <c r="HG1418" s="1"/>
      <c r="HH1418" s="1"/>
    </row>
    <row r="1419" spans="1:216" x14ac:dyDescent="0.3">
      <c r="A1419" s="3"/>
      <c r="B1419" s="1"/>
      <c r="C1419" s="1"/>
      <c r="D1419" s="1"/>
      <c r="E1419" s="1"/>
      <c r="F1419" s="1"/>
      <c r="G1419" s="1"/>
      <c r="H1419" s="1"/>
      <c r="I1419" s="1"/>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1"/>
      <c r="CG1419" s="1"/>
      <c r="CH1419" s="1"/>
      <c r="CI1419" s="1"/>
      <c r="CJ1419" s="1"/>
      <c r="CK1419" s="1"/>
      <c r="CL1419" s="1"/>
      <c r="CM1419" s="1"/>
      <c r="CN1419" s="1"/>
      <c r="CO1419" s="1"/>
      <c r="CP1419" s="1"/>
      <c r="CQ1419" s="1"/>
      <c r="CR1419" s="1"/>
      <c r="CS1419" s="1"/>
      <c r="CT1419" s="1"/>
      <c r="CU1419" s="1"/>
      <c r="CV1419" s="1"/>
      <c r="CW1419" s="1"/>
      <c r="CX1419" s="1"/>
      <c r="CY1419" s="1"/>
      <c r="CZ1419" s="1"/>
      <c r="DA1419" s="1"/>
      <c r="DB1419" s="1"/>
      <c r="DC1419" s="1"/>
      <c r="DD1419" s="1"/>
      <c r="DE1419" s="1"/>
      <c r="DF1419" s="1"/>
      <c r="DG1419" s="1"/>
      <c r="DH1419" s="1"/>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1"/>
      <c r="EI1419" s="1"/>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c r="FN1419" s="1"/>
      <c r="FO1419" s="1"/>
      <c r="FP1419" s="1"/>
      <c r="FQ1419" s="1"/>
      <c r="FR1419" s="1"/>
      <c r="FS1419" s="1"/>
      <c r="FT1419" s="1"/>
      <c r="FU1419" s="1"/>
      <c r="FV1419" s="1"/>
      <c r="FW1419" s="1"/>
      <c r="FX1419" s="1"/>
      <c r="FY1419" s="1"/>
      <c r="FZ1419" s="1"/>
      <c r="GA1419" s="1"/>
      <c r="GB1419" s="1"/>
      <c r="GC1419" s="1"/>
      <c r="GD1419" s="1"/>
      <c r="GE1419" s="1"/>
      <c r="GF1419" s="1"/>
      <c r="GG1419" s="1"/>
      <c r="GH1419" s="1"/>
      <c r="GI1419" s="1"/>
      <c r="GJ1419" s="1"/>
      <c r="GK1419" s="1"/>
      <c r="GL1419" s="1"/>
      <c r="GM1419" s="1"/>
      <c r="GN1419" s="1"/>
      <c r="GO1419" s="1"/>
      <c r="GP1419" s="1"/>
      <c r="GQ1419" s="1"/>
      <c r="GR1419" s="1"/>
      <c r="GS1419" s="1"/>
      <c r="GT1419" s="1"/>
      <c r="GU1419" s="1"/>
      <c r="GV1419" s="1"/>
      <c r="GW1419" s="1"/>
      <c r="GX1419" s="1"/>
      <c r="GY1419" s="1"/>
      <c r="GZ1419" s="1"/>
      <c r="HA1419" s="1"/>
      <c r="HB1419" s="1"/>
      <c r="HC1419" s="1"/>
      <c r="HD1419" s="1"/>
      <c r="HE1419" s="1"/>
      <c r="HF1419" s="1"/>
      <c r="HG1419" s="1"/>
      <c r="HH1419" s="1"/>
    </row>
    <row r="1420" spans="1:216" x14ac:dyDescent="0.3">
      <c r="A1420" s="3"/>
      <c r="B1420" s="1"/>
      <c r="C1420" s="1"/>
      <c r="D1420" s="1"/>
      <c r="E1420" s="1"/>
      <c r="F1420" s="1"/>
      <c r="G1420" s="1"/>
      <c r="H1420" s="1"/>
      <c r="I1420" s="1"/>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c r="CC1420" s="1"/>
      <c r="CD1420" s="1"/>
      <c r="CE1420" s="1"/>
      <c r="CF1420" s="1"/>
      <c r="CG1420" s="1"/>
      <c r="CH1420" s="1"/>
      <c r="CI1420" s="1"/>
      <c r="CJ1420" s="1"/>
      <c r="CK1420" s="1"/>
      <c r="CL1420" s="1"/>
      <c r="CM1420" s="1"/>
      <c r="CN1420" s="1"/>
      <c r="CO1420" s="1"/>
      <c r="CP1420" s="1"/>
      <c r="CQ1420" s="1"/>
      <c r="CR1420" s="1"/>
      <c r="CS1420" s="1"/>
      <c r="CT1420" s="1"/>
      <c r="CU1420" s="1"/>
      <c r="CV1420" s="1"/>
      <c r="CW1420" s="1"/>
      <c r="CX1420" s="1"/>
      <c r="CY1420" s="1"/>
      <c r="CZ1420" s="1"/>
      <c r="DA1420" s="1"/>
      <c r="DB1420" s="1"/>
      <c r="DC1420" s="1"/>
      <c r="DD1420" s="1"/>
      <c r="DE1420" s="1"/>
      <c r="DF1420" s="1"/>
      <c r="DG1420" s="1"/>
      <c r="DH1420" s="1"/>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1"/>
      <c r="EI1420" s="1"/>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c r="FN1420" s="1"/>
      <c r="FO1420" s="1"/>
      <c r="FP1420" s="1"/>
      <c r="FQ1420" s="1"/>
      <c r="FR1420" s="1"/>
      <c r="FS1420" s="1"/>
      <c r="FT1420" s="1"/>
      <c r="FU1420" s="1"/>
      <c r="FV1420" s="1"/>
      <c r="FW1420" s="1"/>
      <c r="FX1420" s="1"/>
      <c r="FY1420" s="1"/>
      <c r="FZ1420" s="1"/>
      <c r="GA1420" s="1"/>
      <c r="GB1420" s="1"/>
      <c r="GC1420" s="1"/>
      <c r="GD1420" s="1"/>
      <c r="GE1420" s="1"/>
      <c r="GF1420" s="1"/>
      <c r="GG1420" s="1"/>
      <c r="GH1420" s="1"/>
      <c r="GI1420" s="1"/>
      <c r="GJ1420" s="1"/>
      <c r="GK1420" s="1"/>
      <c r="GL1420" s="1"/>
      <c r="GM1420" s="1"/>
      <c r="GN1420" s="1"/>
      <c r="GO1420" s="1"/>
      <c r="GP1420" s="1"/>
      <c r="GQ1420" s="1"/>
      <c r="GR1420" s="1"/>
      <c r="GS1420" s="1"/>
      <c r="GT1420" s="1"/>
      <c r="GU1420" s="1"/>
      <c r="GV1420" s="1"/>
      <c r="GW1420" s="1"/>
      <c r="GX1420" s="1"/>
      <c r="GY1420" s="1"/>
      <c r="GZ1420" s="1"/>
      <c r="HA1420" s="1"/>
      <c r="HB1420" s="1"/>
      <c r="HC1420" s="1"/>
      <c r="HD1420" s="1"/>
      <c r="HE1420" s="1"/>
      <c r="HF1420" s="1"/>
      <c r="HG1420" s="1"/>
      <c r="HH1420" s="1"/>
    </row>
    <row r="1421" spans="1:216" x14ac:dyDescent="0.3">
      <c r="A1421" s="3"/>
      <c r="B1421" s="1"/>
      <c r="C1421" s="1"/>
      <c r="D1421" s="1"/>
      <c r="E1421" s="1"/>
      <c r="F1421" s="1"/>
      <c r="G1421" s="1"/>
      <c r="H1421" s="1"/>
      <c r="I1421" s="1"/>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1"/>
      <c r="CG1421" s="1"/>
      <c r="CH1421" s="1"/>
      <c r="CI1421" s="1"/>
      <c r="CJ1421" s="1"/>
      <c r="CK1421" s="1"/>
      <c r="CL1421" s="1"/>
      <c r="CM1421" s="1"/>
      <c r="CN1421" s="1"/>
      <c r="CO1421" s="1"/>
      <c r="CP1421" s="1"/>
      <c r="CQ1421" s="1"/>
      <c r="CR1421" s="1"/>
      <c r="CS1421" s="1"/>
      <c r="CT1421" s="1"/>
      <c r="CU1421" s="1"/>
      <c r="CV1421" s="1"/>
      <c r="CW1421" s="1"/>
      <c r="CX1421" s="1"/>
      <c r="CY1421" s="1"/>
      <c r="CZ1421" s="1"/>
      <c r="DA1421" s="1"/>
      <c r="DB1421" s="1"/>
      <c r="DC1421" s="1"/>
      <c r="DD1421" s="1"/>
      <c r="DE1421" s="1"/>
      <c r="DF1421" s="1"/>
      <c r="DG1421" s="1"/>
      <c r="DH1421" s="1"/>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1"/>
      <c r="EI1421" s="1"/>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c r="FN1421" s="1"/>
      <c r="FO1421" s="1"/>
      <c r="FP1421" s="1"/>
      <c r="FQ1421" s="1"/>
      <c r="FR1421" s="1"/>
      <c r="FS1421" s="1"/>
      <c r="FT1421" s="1"/>
      <c r="FU1421" s="1"/>
      <c r="FV1421" s="1"/>
      <c r="FW1421" s="1"/>
      <c r="FX1421" s="1"/>
      <c r="FY1421" s="1"/>
      <c r="FZ1421" s="1"/>
      <c r="GA1421" s="1"/>
      <c r="GB1421" s="1"/>
      <c r="GC1421" s="1"/>
      <c r="GD1421" s="1"/>
      <c r="GE1421" s="1"/>
      <c r="GF1421" s="1"/>
      <c r="GG1421" s="1"/>
      <c r="GH1421" s="1"/>
      <c r="GI1421" s="1"/>
      <c r="GJ1421" s="1"/>
      <c r="GK1421" s="1"/>
      <c r="GL1421" s="1"/>
      <c r="GM1421" s="1"/>
      <c r="GN1421" s="1"/>
      <c r="GO1421" s="1"/>
      <c r="GP1421" s="1"/>
      <c r="GQ1421" s="1"/>
      <c r="GR1421" s="1"/>
      <c r="GS1421" s="1"/>
      <c r="GT1421" s="1"/>
      <c r="GU1421" s="1"/>
      <c r="GV1421" s="1"/>
      <c r="GW1421" s="1"/>
      <c r="GX1421" s="1"/>
      <c r="GY1421" s="1"/>
      <c r="GZ1421" s="1"/>
      <c r="HA1421" s="1"/>
      <c r="HB1421" s="1"/>
      <c r="HC1421" s="1"/>
      <c r="HD1421" s="1"/>
      <c r="HE1421" s="1"/>
      <c r="HF1421" s="1"/>
      <c r="HG1421" s="1"/>
      <c r="HH1421" s="1"/>
    </row>
    <row r="1422" spans="1:216" x14ac:dyDescent="0.3">
      <c r="A1422" s="3"/>
      <c r="B1422" s="1"/>
      <c r="C1422" s="1"/>
      <c r="D1422" s="1"/>
      <c r="E1422" s="1"/>
      <c r="F1422" s="1"/>
      <c r="G1422" s="1"/>
      <c r="H1422" s="1"/>
      <c r="I1422" s="1"/>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c r="CC1422" s="1"/>
      <c r="CD1422" s="1"/>
      <c r="CE1422" s="1"/>
      <c r="CF1422" s="1"/>
      <c r="CG1422" s="1"/>
      <c r="CH1422" s="1"/>
      <c r="CI1422" s="1"/>
      <c r="CJ1422" s="1"/>
      <c r="CK1422" s="1"/>
      <c r="CL1422" s="1"/>
      <c r="CM1422" s="1"/>
      <c r="CN1422" s="1"/>
      <c r="CO1422" s="1"/>
      <c r="CP1422" s="1"/>
      <c r="CQ1422" s="1"/>
      <c r="CR1422" s="1"/>
      <c r="CS1422" s="1"/>
      <c r="CT1422" s="1"/>
      <c r="CU1422" s="1"/>
      <c r="CV1422" s="1"/>
      <c r="CW1422" s="1"/>
      <c r="CX1422" s="1"/>
      <c r="CY1422" s="1"/>
      <c r="CZ1422" s="1"/>
      <c r="DA1422" s="1"/>
      <c r="DB1422" s="1"/>
      <c r="DC1422" s="1"/>
      <c r="DD1422" s="1"/>
      <c r="DE1422" s="1"/>
      <c r="DF1422" s="1"/>
      <c r="DG1422" s="1"/>
      <c r="DH1422" s="1"/>
      <c r="DI1422" s="1"/>
      <c r="DJ1422" s="1"/>
      <c r="DK1422" s="1"/>
      <c r="DL1422" s="1"/>
      <c r="DM1422" s="1"/>
      <c r="DN1422" s="1"/>
      <c r="DO1422" s="1"/>
      <c r="DP1422" s="1"/>
      <c r="DQ1422" s="1"/>
      <c r="DR1422" s="1"/>
      <c r="DS1422" s="1"/>
      <c r="DT1422" s="1"/>
      <c r="DU1422" s="1"/>
      <c r="DV1422" s="1"/>
      <c r="DW1422" s="1"/>
      <c r="DX1422" s="1"/>
      <c r="DY1422" s="1"/>
      <c r="DZ1422" s="1"/>
      <c r="EA1422" s="1"/>
      <c r="EB1422" s="1"/>
      <c r="EC1422" s="1"/>
      <c r="ED1422" s="1"/>
      <c r="EE1422" s="1"/>
      <c r="EF1422" s="1"/>
      <c r="EG1422" s="1"/>
      <c r="EH1422" s="1"/>
      <c r="EI1422" s="1"/>
      <c r="EJ1422" s="1"/>
      <c r="EK1422" s="1"/>
      <c r="EL1422" s="1"/>
      <c r="EM1422" s="1"/>
      <c r="EN1422" s="1"/>
      <c r="EO1422" s="1"/>
      <c r="EP1422" s="1"/>
      <c r="EQ1422" s="1"/>
      <c r="ER1422" s="1"/>
      <c r="ES1422" s="1"/>
      <c r="ET1422" s="1"/>
      <c r="EU1422" s="1"/>
      <c r="EV1422" s="1"/>
      <c r="EW1422" s="1"/>
      <c r="EX1422" s="1"/>
      <c r="EY1422" s="1"/>
      <c r="EZ1422" s="1"/>
      <c r="FA1422" s="1"/>
      <c r="FB1422" s="1"/>
      <c r="FC1422" s="1"/>
      <c r="FD1422" s="1"/>
      <c r="FE1422" s="1"/>
      <c r="FF1422" s="1"/>
      <c r="FG1422" s="1"/>
      <c r="FH1422" s="1"/>
      <c r="FI1422" s="1"/>
      <c r="FJ1422" s="1"/>
      <c r="FK1422" s="1"/>
      <c r="FL1422" s="1"/>
      <c r="FM1422" s="1"/>
      <c r="FN1422" s="1"/>
      <c r="FO1422" s="1"/>
      <c r="FP1422" s="1"/>
      <c r="FQ1422" s="1"/>
      <c r="FR1422" s="1"/>
      <c r="FS1422" s="1"/>
      <c r="FT1422" s="1"/>
      <c r="FU1422" s="1"/>
      <c r="FV1422" s="1"/>
      <c r="FW1422" s="1"/>
      <c r="FX1422" s="1"/>
      <c r="FY1422" s="1"/>
      <c r="FZ1422" s="1"/>
      <c r="GA1422" s="1"/>
      <c r="GB1422" s="1"/>
      <c r="GC1422" s="1"/>
      <c r="GD1422" s="1"/>
      <c r="GE1422" s="1"/>
      <c r="GF1422" s="1"/>
      <c r="GG1422" s="1"/>
      <c r="GH1422" s="1"/>
      <c r="GI1422" s="1"/>
      <c r="GJ1422" s="1"/>
      <c r="GK1422" s="1"/>
      <c r="GL1422" s="1"/>
      <c r="GM1422" s="1"/>
      <c r="GN1422" s="1"/>
      <c r="GO1422" s="1"/>
      <c r="GP1422" s="1"/>
      <c r="GQ1422" s="1"/>
      <c r="GR1422" s="1"/>
      <c r="GS1422" s="1"/>
      <c r="GT1422" s="1"/>
      <c r="GU1422" s="1"/>
      <c r="GV1422" s="1"/>
      <c r="GW1422" s="1"/>
      <c r="GX1422" s="1"/>
      <c r="GY1422" s="1"/>
      <c r="GZ1422" s="1"/>
      <c r="HA1422" s="1"/>
      <c r="HB1422" s="1"/>
      <c r="HC1422" s="1"/>
      <c r="HD1422" s="1"/>
      <c r="HE1422" s="1"/>
      <c r="HF1422" s="1"/>
      <c r="HG1422" s="1"/>
      <c r="HH1422" s="1"/>
    </row>
    <row r="1423" spans="1:216" x14ac:dyDescent="0.3">
      <c r="A1423" s="3"/>
      <c r="B1423" s="1"/>
      <c r="C1423" s="1"/>
      <c r="D1423" s="1"/>
      <c r="E1423" s="1"/>
      <c r="F1423" s="1"/>
      <c r="G1423" s="1"/>
      <c r="H1423" s="1"/>
      <c r="I1423" s="1"/>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c r="CC1423" s="1"/>
      <c r="CD1423" s="1"/>
      <c r="CE1423" s="1"/>
      <c r="CF1423" s="1"/>
      <c r="CG1423" s="1"/>
      <c r="CH1423" s="1"/>
      <c r="CI1423" s="1"/>
      <c r="CJ1423" s="1"/>
      <c r="CK1423" s="1"/>
      <c r="CL1423" s="1"/>
      <c r="CM1423" s="1"/>
      <c r="CN1423" s="1"/>
      <c r="CO1423" s="1"/>
      <c r="CP1423" s="1"/>
      <c r="CQ1423" s="1"/>
      <c r="CR1423" s="1"/>
      <c r="CS1423" s="1"/>
      <c r="CT1423" s="1"/>
      <c r="CU1423" s="1"/>
      <c r="CV1423" s="1"/>
      <c r="CW1423" s="1"/>
      <c r="CX1423" s="1"/>
      <c r="CY1423" s="1"/>
      <c r="CZ1423" s="1"/>
      <c r="DA1423" s="1"/>
      <c r="DB1423" s="1"/>
      <c r="DC1423" s="1"/>
      <c r="DD1423" s="1"/>
      <c r="DE1423" s="1"/>
      <c r="DF1423" s="1"/>
      <c r="DG1423" s="1"/>
      <c r="DH1423" s="1"/>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1"/>
      <c r="EI1423" s="1"/>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1"/>
      <c r="GD1423" s="1"/>
      <c r="GE1423" s="1"/>
      <c r="GF1423" s="1"/>
      <c r="GG1423" s="1"/>
      <c r="GH1423" s="1"/>
      <c r="GI1423" s="1"/>
      <c r="GJ1423" s="1"/>
      <c r="GK1423" s="1"/>
      <c r="GL1423" s="1"/>
      <c r="GM1423" s="1"/>
      <c r="GN1423" s="1"/>
      <c r="GO1423" s="1"/>
      <c r="GP1423" s="1"/>
      <c r="GQ1423" s="1"/>
      <c r="GR1423" s="1"/>
      <c r="GS1423" s="1"/>
      <c r="GT1423" s="1"/>
      <c r="GU1423" s="1"/>
      <c r="GV1423" s="1"/>
      <c r="GW1423" s="1"/>
      <c r="GX1423" s="1"/>
      <c r="GY1423" s="1"/>
      <c r="GZ1423" s="1"/>
      <c r="HA1423" s="1"/>
      <c r="HB1423" s="1"/>
      <c r="HC1423" s="1"/>
      <c r="HD1423" s="1"/>
      <c r="HE1423" s="1"/>
      <c r="HF1423" s="1"/>
      <c r="HG1423" s="1"/>
      <c r="HH1423" s="1"/>
    </row>
    <row r="1424" spans="1:216" x14ac:dyDescent="0.3">
      <c r="A1424" s="3"/>
      <c r="B1424" s="1"/>
      <c r="C1424" s="1"/>
      <c r="D1424" s="1"/>
      <c r="E1424" s="1"/>
      <c r="F1424" s="1"/>
      <c r="G1424" s="1"/>
      <c r="H1424" s="1"/>
      <c r="I1424" s="1"/>
      <c r="J1424" s="1"/>
      <c r="K1424" s="1"/>
      <c r="L1424" s="1"/>
      <c r="M1424" s="1"/>
      <c r="N1424" s="1"/>
      <c r="O1424" s="1"/>
      <c r="P1424" s="1"/>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c r="CC1424" s="1"/>
      <c r="CD1424" s="1"/>
      <c r="CE1424" s="1"/>
      <c r="CF1424" s="1"/>
      <c r="CG1424" s="1"/>
      <c r="CH1424" s="1"/>
      <c r="CI1424" s="1"/>
      <c r="CJ1424" s="1"/>
      <c r="CK1424" s="1"/>
      <c r="CL1424" s="1"/>
      <c r="CM1424" s="1"/>
      <c r="CN1424" s="1"/>
      <c r="CO1424" s="1"/>
      <c r="CP1424" s="1"/>
      <c r="CQ1424" s="1"/>
      <c r="CR1424" s="1"/>
      <c r="CS1424" s="1"/>
      <c r="CT1424" s="1"/>
      <c r="CU1424" s="1"/>
      <c r="CV1424" s="1"/>
      <c r="CW1424" s="1"/>
      <c r="CX1424" s="1"/>
      <c r="CY1424" s="1"/>
      <c r="CZ1424" s="1"/>
      <c r="DA1424" s="1"/>
      <c r="DB1424" s="1"/>
      <c r="DC1424" s="1"/>
      <c r="DD1424" s="1"/>
      <c r="DE1424" s="1"/>
      <c r="DF1424" s="1"/>
      <c r="DG1424" s="1"/>
      <c r="DH1424" s="1"/>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1"/>
      <c r="EI1424" s="1"/>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1"/>
      <c r="GD1424" s="1"/>
      <c r="GE1424" s="1"/>
      <c r="GF1424" s="1"/>
      <c r="GG1424" s="1"/>
      <c r="GH1424" s="1"/>
      <c r="GI1424" s="1"/>
      <c r="GJ1424" s="1"/>
      <c r="GK1424" s="1"/>
      <c r="GL1424" s="1"/>
      <c r="GM1424" s="1"/>
      <c r="GN1424" s="1"/>
      <c r="GO1424" s="1"/>
      <c r="GP1424" s="1"/>
      <c r="GQ1424" s="1"/>
      <c r="GR1424" s="1"/>
      <c r="GS1424" s="1"/>
      <c r="GT1424" s="1"/>
      <c r="GU1424" s="1"/>
      <c r="GV1424" s="1"/>
      <c r="GW1424" s="1"/>
      <c r="GX1424" s="1"/>
      <c r="GY1424" s="1"/>
      <c r="GZ1424" s="1"/>
      <c r="HA1424" s="1"/>
      <c r="HB1424" s="1"/>
      <c r="HC1424" s="1"/>
      <c r="HD1424" s="1"/>
      <c r="HE1424" s="1"/>
      <c r="HF1424" s="1"/>
      <c r="HG1424" s="1"/>
      <c r="HH1424" s="1"/>
    </row>
    <row r="1425" spans="1:216" x14ac:dyDescent="0.3">
      <c r="A1425" s="3"/>
      <c r="B1425" s="1"/>
      <c r="C1425" s="1"/>
      <c r="D1425" s="1"/>
      <c r="E1425" s="1"/>
      <c r="F1425" s="1"/>
      <c r="G1425" s="1"/>
      <c r="H1425" s="1"/>
      <c r="I1425" s="1"/>
      <c r="J1425" s="1"/>
      <c r="K1425" s="1"/>
      <c r="L1425" s="1"/>
      <c r="M1425" s="1"/>
      <c r="N1425" s="1"/>
      <c r="O1425" s="1"/>
      <c r="P1425" s="1"/>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c r="CL1425" s="1"/>
      <c r="CM1425" s="1"/>
      <c r="CN1425" s="1"/>
      <c r="CO1425" s="1"/>
      <c r="CP1425" s="1"/>
      <c r="CQ1425" s="1"/>
      <c r="CR1425" s="1"/>
      <c r="CS1425" s="1"/>
      <c r="CT1425" s="1"/>
      <c r="CU1425" s="1"/>
      <c r="CV1425" s="1"/>
      <c r="CW1425" s="1"/>
      <c r="CX1425" s="1"/>
      <c r="CY1425" s="1"/>
      <c r="CZ1425" s="1"/>
      <c r="DA1425" s="1"/>
      <c r="DB1425" s="1"/>
      <c r="DC1425" s="1"/>
      <c r="DD1425" s="1"/>
      <c r="DE1425" s="1"/>
      <c r="DF1425" s="1"/>
      <c r="DG1425" s="1"/>
      <c r="DH1425" s="1"/>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1"/>
      <c r="EI1425" s="1"/>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1"/>
      <c r="GD1425" s="1"/>
      <c r="GE1425" s="1"/>
      <c r="GF1425" s="1"/>
      <c r="GG1425" s="1"/>
      <c r="GH1425" s="1"/>
      <c r="GI1425" s="1"/>
      <c r="GJ1425" s="1"/>
      <c r="GK1425" s="1"/>
      <c r="GL1425" s="1"/>
      <c r="GM1425" s="1"/>
      <c r="GN1425" s="1"/>
      <c r="GO1425" s="1"/>
      <c r="GP1425" s="1"/>
      <c r="GQ1425" s="1"/>
      <c r="GR1425" s="1"/>
      <c r="GS1425" s="1"/>
      <c r="GT1425" s="1"/>
      <c r="GU1425" s="1"/>
      <c r="GV1425" s="1"/>
      <c r="GW1425" s="1"/>
      <c r="GX1425" s="1"/>
      <c r="GY1425" s="1"/>
      <c r="GZ1425" s="1"/>
      <c r="HA1425" s="1"/>
      <c r="HB1425" s="1"/>
      <c r="HC1425" s="1"/>
      <c r="HD1425" s="1"/>
      <c r="HE1425" s="1"/>
      <c r="HF1425" s="1"/>
      <c r="HG1425" s="1"/>
      <c r="HH1425" s="1"/>
    </row>
    <row r="1426" spans="1:216" x14ac:dyDescent="0.3">
      <c r="A1426" s="3"/>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c r="CL1426" s="1"/>
      <c r="CM1426" s="1"/>
      <c r="CN1426" s="1"/>
      <c r="CO1426" s="1"/>
      <c r="CP1426" s="1"/>
      <c r="CQ1426" s="1"/>
      <c r="CR1426" s="1"/>
      <c r="CS1426" s="1"/>
      <c r="CT1426" s="1"/>
      <c r="CU1426" s="1"/>
      <c r="CV1426" s="1"/>
      <c r="CW1426" s="1"/>
      <c r="CX1426" s="1"/>
      <c r="CY1426" s="1"/>
      <c r="CZ1426" s="1"/>
      <c r="DA1426" s="1"/>
      <c r="DB1426" s="1"/>
      <c r="DC1426" s="1"/>
      <c r="DD1426" s="1"/>
      <c r="DE1426" s="1"/>
      <c r="DF1426" s="1"/>
      <c r="DG1426" s="1"/>
      <c r="DH1426" s="1"/>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1"/>
      <c r="EI1426" s="1"/>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1"/>
      <c r="GD1426" s="1"/>
      <c r="GE1426" s="1"/>
      <c r="GF1426" s="1"/>
      <c r="GG1426" s="1"/>
      <c r="GH1426" s="1"/>
      <c r="GI1426" s="1"/>
      <c r="GJ1426" s="1"/>
      <c r="GK1426" s="1"/>
      <c r="GL1426" s="1"/>
      <c r="GM1426" s="1"/>
      <c r="GN1426" s="1"/>
      <c r="GO1426" s="1"/>
      <c r="GP1426" s="1"/>
      <c r="GQ1426" s="1"/>
      <c r="GR1426" s="1"/>
      <c r="GS1426" s="1"/>
      <c r="GT1426" s="1"/>
      <c r="GU1426" s="1"/>
      <c r="GV1426" s="1"/>
      <c r="GW1426" s="1"/>
      <c r="GX1426" s="1"/>
      <c r="GY1426" s="1"/>
      <c r="GZ1426" s="1"/>
      <c r="HA1426" s="1"/>
      <c r="HB1426" s="1"/>
      <c r="HC1426" s="1"/>
      <c r="HD1426" s="1"/>
      <c r="HE1426" s="1"/>
      <c r="HF1426" s="1"/>
      <c r="HG1426" s="1"/>
      <c r="HH1426" s="1"/>
    </row>
    <row r="1427" spans="1:216" x14ac:dyDescent="0.3">
      <c r="A1427" s="3"/>
      <c r="B1427" s="1"/>
      <c r="C1427" s="1"/>
      <c r="D1427" s="1"/>
      <c r="E1427" s="1"/>
      <c r="F1427" s="1"/>
      <c r="G1427" s="1"/>
      <c r="H1427" s="1"/>
      <c r="I1427" s="1"/>
      <c r="J1427" s="1"/>
      <c r="K1427" s="1"/>
      <c r="L1427" s="1"/>
      <c r="M1427" s="1"/>
      <c r="N1427" s="1"/>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1"/>
      <c r="CJ1427" s="1"/>
      <c r="CK1427" s="1"/>
      <c r="CL1427" s="1"/>
      <c r="CM1427" s="1"/>
      <c r="CN1427" s="1"/>
      <c r="CO1427" s="1"/>
      <c r="CP1427" s="1"/>
      <c r="CQ1427" s="1"/>
      <c r="CR1427" s="1"/>
      <c r="CS1427" s="1"/>
      <c r="CT1427" s="1"/>
      <c r="CU1427" s="1"/>
      <c r="CV1427" s="1"/>
      <c r="CW1427" s="1"/>
      <c r="CX1427" s="1"/>
      <c r="CY1427" s="1"/>
      <c r="CZ1427" s="1"/>
      <c r="DA1427" s="1"/>
      <c r="DB1427" s="1"/>
      <c r="DC1427" s="1"/>
      <c r="DD1427" s="1"/>
      <c r="DE1427" s="1"/>
      <c r="DF1427" s="1"/>
      <c r="DG1427" s="1"/>
      <c r="DH1427" s="1"/>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c r="EF1427" s="1"/>
      <c r="EG1427" s="1"/>
      <c r="EH1427" s="1"/>
      <c r="EI1427" s="1"/>
      <c r="EJ1427" s="1"/>
      <c r="EK1427" s="1"/>
      <c r="EL1427" s="1"/>
      <c r="EM1427" s="1"/>
      <c r="EN1427" s="1"/>
      <c r="EO1427" s="1"/>
      <c r="EP1427" s="1"/>
      <c r="EQ1427" s="1"/>
      <c r="ER1427" s="1"/>
      <c r="ES1427" s="1"/>
      <c r="ET1427" s="1"/>
      <c r="EU1427" s="1"/>
      <c r="EV1427" s="1"/>
      <c r="EW1427" s="1"/>
      <c r="EX1427" s="1"/>
      <c r="EY1427" s="1"/>
      <c r="EZ1427" s="1"/>
      <c r="FA1427" s="1"/>
      <c r="FB1427" s="1"/>
      <c r="FC1427" s="1"/>
      <c r="FD1427" s="1"/>
      <c r="FE1427" s="1"/>
      <c r="FF1427" s="1"/>
      <c r="FG1427" s="1"/>
      <c r="FH1427" s="1"/>
      <c r="FI1427" s="1"/>
      <c r="FJ1427" s="1"/>
      <c r="FK1427" s="1"/>
      <c r="FL1427" s="1"/>
      <c r="FM1427" s="1"/>
      <c r="FN1427" s="1"/>
      <c r="FO1427" s="1"/>
      <c r="FP1427" s="1"/>
      <c r="FQ1427" s="1"/>
      <c r="FR1427" s="1"/>
      <c r="FS1427" s="1"/>
      <c r="FT1427" s="1"/>
      <c r="FU1427" s="1"/>
      <c r="FV1427" s="1"/>
      <c r="FW1427" s="1"/>
      <c r="FX1427" s="1"/>
      <c r="FY1427" s="1"/>
      <c r="FZ1427" s="1"/>
      <c r="GA1427" s="1"/>
      <c r="GB1427" s="1"/>
      <c r="GC1427" s="1"/>
      <c r="GD1427" s="1"/>
      <c r="GE1427" s="1"/>
      <c r="GF1427" s="1"/>
      <c r="GG1427" s="1"/>
      <c r="GH1427" s="1"/>
      <c r="GI1427" s="1"/>
      <c r="GJ1427" s="1"/>
      <c r="GK1427" s="1"/>
      <c r="GL1427" s="1"/>
      <c r="GM1427" s="1"/>
      <c r="GN1427" s="1"/>
      <c r="GO1427" s="1"/>
      <c r="GP1427" s="1"/>
      <c r="GQ1427" s="1"/>
      <c r="GR1427" s="1"/>
      <c r="GS1427" s="1"/>
      <c r="GT1427" s="1"/>
      <c r="GU1427" s="1"/>
      <c r="GV1427" s="1"/>
      <c r="GW1427" s="1"/>
      <c r="GX1427" s="1"/>
      <c r="GY1427" s="1"/>
      <c r="GZ1427" s="1"/>
      <c r="HA1427" s="1"/>
      <c r="HB1427" s="1"/>
      <c r="HC1427" s="1"/>
      <c r="HD1427" s="1"/>
      <c r="HE1427" s="1"/>
      <c r="HF1427" s="1"/>
      <c r="HG1427" s="1"/>
      <c r="HH1427" s="1"/>
    </row>
    <row r="1428" spans="1:216" x14ac:dyDescent="0.3">
      <c r="A1428" s="3"/>
      <c r="B1428" s="1"/>
      <c r="C1428" s="1"/>
      <c r="D1428" s="1"/>
      <c r="E1428" s="1"/>
      <c r="F1428" s="1"/>
      <c r="G1428" s="1"/>
      <c r="H1428" s="1"/>
      <c r="I1428" s="1"/>
      <c r="J1428" s="1"/>
      <c r="K1428" s="1"/>
      <c r="L1428" s="1"/>
      <c r="M1428" s="1"/>
      <c r="N1428" s="1"/>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1"/>
      <c r="CG1428" s="1"/>
      <c r="CH1428" s="1"/>
      <c r="CI1428" s="1"/>
      <c r="CJ1428" s="1"/>
      <c r="CK1428" s="1"/>
      <c r="CL1428" s="1"/>
      <c r="CM1428" s="1"/>
      <c r="CN1428" s="1"/>
      <c r="CO1428" s="1"/>
      <c r="CP1428" s="1"/>
      <c r="CQ1428" s="1"/>
      <c r="CR1428" s="1"/>
      <c r="CS1428" s="1"/>
      <c r="CT1428" s="1"/>
      <c r="CU1428" s="1"/>
      <c r="CV1428" s="1"/>
      <c r="CW1428" s="1"/>
      <c r="CX1428" s="1"/>
      <c r="CY1428" s="1"/>
      <c r="CZ1428" s="1"/>
      <c r="DA1428" s="1"/>
      <c r="DB1428" s="1"/>
      <c r="DC1428" s="1"/>
      <c r="DD1428" s="1"/>
      <c r="DE1428" s="1"/>
      <c r="DF1428" s="1"/>
      <c r="DG1428" s="1"/>
      <c r="DH1428" s="1"/>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1"/>
      <c r="EI1428" s="1"/>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c r="FN1428" s="1"/>
      <c r="FO1428" s="1"/>
      <c r="FP1428" s="1"/>
      <c r="FQ1428" s="1"/>
      <c r="FR1428" s="1"/>
      <c r="FS1428" s="1"/>
      <c r="FT1428" s="1"/>
      <c r="FU1428" s="1"/>
      <c r="FV1428" s="1"/>
      <c r="FW1428" s="1"/>
      <c r="FX1428" s="1"/>
      <c r="FY1428" s="1"/>
      <c r="FZ1428" s="1"/>
      <c r="GA1428" s="1"/>
      <c r="GB1428" s="1"/>
      <c r="GC1428" s="1"/>
      <c r="GD1428" s="1"/>
      <c r="GE1428" s="1"/>
      <c r="GF1428" s="1"/>
      <c r="GG1428" s="1"/>
      <c r="GH1428" s="1"/>
      <c r="GI1428" s="1"/>
      <c r="GJ1428" s="1"/>
      <c r="GK1428" s="1"/>
      <c r="GL1428" s="1"/>
      <c r="GM1428" s="1"/>
      <c r="GN1428" s="1"/>
      <c r="GO1428" s="1"/>
      <c r="GP1428" s="1"/>
      <c r="GQ1428" s="1"/>
      <c r="GR1428" s="1"/>
      <c r="GS1428" s="1"/>
      <c r="GT1428" s="1"/>
      <c r="GU1428" s="1"/>
      <c r="GV1428" s="1"/>
      <c r="GW1428" s="1"/>
      <c r="GX1428" s="1"/>
      <c r="GY1428" s="1"/>
      <c r="GZ1428" s="1"/>
      <c r="HA1428" s="1"/>
      <c r="HB1428" s="1"/>
      <c r="HC1428" s="1"/>
      <c r="HD1428" s="1"/>
      <c r="HE1428" s="1"/>
      <c r="HF1428" s="1"/>
      <c r="HG1428" s="1"/>
      <c r="HH1428" s="1"/>
    </row>
    <row r="1429" spans="1:216" x14ac:dyDescent="0.3">
      <c r="A1429" s="3"/>
      <c r="B1429" s="1"/>
      <c r="C1429" s="1"/>
      <c r="D1429" s="1"/>
      <c r="E1429" s="1"/>
      <c r="F1429" s="1"/>
      <c r="G1429" s="1"/>
      <c r="H1429" s="1"/>
      <c r="I1429" s="1"/>
      <c r="J1429" s="1"/>
      <c r="K1429" s="1"/>
      <c r="L1429" s="1"/>
      <c r="M1429" s="1"/>
      <c r="N1429" s="1"/>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1"/>
      <c r="CG1429" s="1"/>
      <c r="CH1429" s="1"/>
      <c r="CI1429" s="1"/>
      <c r="CJ1429" s="1"/>
      <c r="CK1429" s="1"/>
      <c r="CL1429" s="1"/>
      <c r="CM1429" s="1"/>
      <c r="CN1429" s="1"/>
      <c r="CO1429" s="1"/>
      <c r="CP1429" s="1"/>
      <c r="CQ1429" s="1"/>
      <c r="CR1429" s="1"/>
      <c r="CS1429" s="1"/>
      <c r="CT1429" s="1"/>
      <c r="CU1429" s="1"/>
      <c r="CV1429" s="1"/>
      <c r="CW1429" s="1"/>
      <c r="CX1429" s="1"/>
      <c r="CY1429" s="1"/>
      <c r="CZ1429" s="1"/>
      <c r="DA1429" s="1"/>
      <c r="DB1429" s="1"/>
      <c r="DC1429" s="1"/>
      <c r="DD1429" s="1"/>
      <c r="DE1429" s="1"/>
      <c r="DF1429" s="1"/>
      <c r="DG1429" s="1"/>
      <c r="DH1429" s="1"/>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1"/>
      <c r="EI1429" s="1"/>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c r="FN1429" s="1"/>
      <c r="FO1429" s="1"/>
      <c r="FP1429" s="1"/>
      <c r="FQ1429" s="1"/>
      <c r="FR1429" s="1"/>
      <c r="FS1429" s="1"/>
      <c r="FT1429" s="1"/>
      <c r="FU1429" s="1"/>
      <c r="FV1429" s="1"/>
      <c r="FW1429" s="1"/>
      <c r="FX1429" s="1"/>
      <c r="FY1429" s="1"/>
      <c r="FZ1429" s="1"/>
      <c r="GA1429" s="1"/>
      <c r="GB1429" s="1"/>
      <c r="GC1429" s="1"/>
      <c r="GD1429" s="1"/>
      <c r="GE1429" s="1"/>
      <c r="GF1429" s="1"/>
      <c r="GG1429" s="1"/>
      <c r="GH1429" s="1"/>
      <c r="GI1429" s="1"/>
      <c r="GJ1429" s="1"/>
      <c r="GK1429" s="1"/>
      <c r="GL1429" s="1"/>
      <c r="GM1429" s="1"/>
      <c r="GN1429" s="1"/>
      <c r="GO1429" s="1"/>
      <c r="GP1429" s="1"/>
      <c r="GQ1429" s="1"/>
      <c r="GR1429" s="1"/>
      <c r="GS1429" s="1"/>
      <c r="GT1429" s="1"/>
      <c r="GU1429" s="1"/>
      <c r="GV1429" s="1"/>
      <c r="GW1429" s="1"/>
      <c r="GX1429" s="1"/>
      <c r="GY1429" s="1"/>
      <c r="GZ1429" s="1"/>
      <c r="HA1429" s="1"/>
      <c r="HB1429" s="1"/>
      <c r="HC1429" s="1"/>
      <c r="HD1429" s="1"/>
      <c r="HE1429" s="1"/>
      <c r="HF1429" s="1"/>
      <c r="HG1429" s="1"/>
      <c r="HH1429" s="1"/>
    </row>
    <row r="1430" spans="1:216" x14ac:dyDescent="0.3">
      <c r="A1430" s="3"/>
      <c r="B1430" s="1"/>
      <c r="C1430" s="1"/>
      <c r="D1430" s="1"/>
      <c r="E1430" s="1"/>
      <c r="F1430" s="1"/>
      <c r="G1430" s="1"/>
      <c r="H1430" s="1"/>
      <c r="I1430" s="1"/>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1"/>
      <c r="CJ1430" s="1"/>
      <c r="CK1430" s="1"/>
      <c r="CL1430" s="1"/>
      <c r="CM1430" s="1"/>
      <c r="CN1430" s="1"/>
      <c r="CO1430" s="1"/>
      <c r="CP1430" s="1"/>
      <c r="CQ1430" s="1"/>
      <c r="CR1430" s="1"/>
      <c r="CS1430" s="1"/>
      <c r="CT1430" s="1"/>
      <c r="CU1430" s="1"/>
      <c r="CV1430" s="1"/>
      <c r="CW1430" s="1"/>
      <c r="CX1430" s="1"/>
      <c r="CY1430" s="1"/>
      <c r="CZ1430" s="1"/>
      <c r="DA1430" s="1"/>
      <c r="DB1430" s="1"/>
      <c r="DC1430" s="1"/>
      <c r="DD1430" s="1"/>
      <c r="DE1430" s="1"/>
      <c r="DF1430" s="1"/>
      <c r="DG1430" s="1"/>
      <c r="DH1430" s="1"/>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1"/>
      <c r="EI1430" s="1"/>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c r="FN1430" s="1"/>
      <c r="FO1430" s="1"/>
      <c r="FP1430" s="1"/>
      <c r="FQ1430" s="1"/>
      <c r="FR1430" s="1"/>
      <c r="FS1430" s="1"/>
      <c r="FT1430" s="1"/>
      <c r="FU1430" s="1"/>
      <c r="FV1430" s="1"/>
      <c r="FW1430" s="1"/>
      <c r="FX1430" s="1"/>
      <c r="FY1430" s="1"/>
      <c r="FZ1430" s="1"/>
      <c r="GA1430" s="1"/>
      <c r="GB1430" s="1"/>
      <c r="GC1430" s="1"/>
      <c r="GD1430" s="1"/>
      <c r="GE1430" s="1"/>
      <c r="GF1430" s="1"/>
      <c r="GG1430" s="1"/>
      <c r="GH1430" s="1"/>
      <c r="GI1430" s="1"/>
      <c r="GJ1430" s="1"/>
      <c r="GK1430" s="1"/>
      <c r="GL1430" s="1"/>
      <c r="GM1430" s="1"/>
      <c r="GN1430" s="1"/>
      <c r="GO1430" s="1"/>
      <c r="GP1430" s="1"/>
      <c r="GQ1430" s="1"/>
      <c r="GR1430" s="1"/>
      <c r="GS1430" s="1"/>
      <c r="GT1430" s="1"/>
      <c r="GU1430" s="1"/>
      <c r="GV1430" s="1"/>
      <c r="GW1430" s="1"/>
      <c r="GX1430" s="1"/>
      <c r="GY1430" s="1"/>
      <c r="GZ1430" s="1"/>
      <c r="HA1430" s="1"/>
      <c r="HB1430" s="1"/>
      <c r="HC1430" s="1"/>
      <c r="HD1430" s="1"/>
      <c r="HE1430" s="1"/>
      <c r="HF1430" s="1"/>
      <c r="HG1430" s="1"/>
      <c r="HH1430" s="1"/>
    </row>
    <row r="1431" spans="1:216" x14ac:dyDescent="0.3">
      <c r="A1431" s="3"/>
      <c r="B1431" s="1"/>
      <c r="C1431" s="1"/>
      <c r="D1431" s="1"/>
      <c r="E1431" s="1"/>
      <c r="F1431" s="1"/>
      <c r="G1431" s="1"/>
      <c r="H1431" s="1"/>
      <c r="I1431" s="1"/>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1"/>
      <c r="CJ1431" s="1"/>
      <c r="CK1431" s="1"/>
      <c r="CL1431" s="1"/>
      <c r="CM1431" s="1"/>
      <c r="CN1431" s="1"/>
      <c r="CO1431" s="1"/>
      <c r="CP1431" s="1"/>
      <c r="CQ1431" s="1"/>
      <c r="CR1431" s="1"/>
      <c r="CS1431" s="1"/>
      <c r="CT1431" s="1"/>
      <c r="CU1431" s="1"/>
      <c r="CV1431" s="1"/>
      <c r="CW1431" s="1"/>
      <c r="CX1431" s="1"/>
      <c r="CY1431" s="1"/>
      <c r="CZ1431" s="1"/>
      <c r="DA1431" s="1"/>
      <c r="DB1431" s="1"/>
      <c r="DC1431" s="1"/>
      <c r="DD1431" s="1"/>
      <c r="DE1431" s="1"/>
      <c r="DF1431" s="1"/>
      <c r="DG1431" s="1"/>
      <c r="DH1431" s="1"/>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1"/>
      <c r="EI1431" s="1"/>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c r="FN1431" s="1"/>
      <c r="FO1431" s="1"/>
      <c r="FP1431" s="1"/>
      <c r="FQ1431" s="1"/>
      <c r="FR1431" s="1"/>
      <c r="FS1431" s="1"/>
      <c r="FT1431" s="1"/>
      <c r="FU1431" s="1"/>
      <c r="FV1431" s="1"/>
      <c r="FW1431" s="1"/>
      <c r="FX1431" s="1"/>
      <c r="FY1431" s="1"/>
      <c r="FZ1431" s="1"/>
      <c r="GA1431" s="1"/>
      <c r="GB1431" s="1"/>
      <c r="GC1431" s="1"/>
      <c r="GD1431" s="1"/>
      <c r="GE1431" s="1"/>
      <c r="GF1431" s="1"/>
      <c r="GG1431" s="1"/>
      <c r="GH1431" s="1"/>
      <c r="GI1431" s="1"/>
      <c r="GJ1431" s="1"/>
      <c r="GK1431" s="1"/>
      <c r="GL1431" s="1"/>
      <c r="GM1431" s="1"/>
      <c r="GN1431" s="1"/>
      <c r="GO1431" s="1"/>
      <c r="GP1431" s="1"/>
      <c r="GQ1431" s="1"/>
      <c r="GR1431" s="1"/>
      <c r="GS1431" s="1"/>
      <c r="GT1431" s="1"/>
      <c r="GU1431" s="1"/>
      <c r="GV1431" s="1"/>
      <c r="GW1431" s="1"/>
      <c r="GX1431" s="1"/>
      <c r="GY1431" s="1"/>
      <c r="GZ1431" s="1"/>
      <c r="HA1431" s="1"/>
      <c r="HB1431" s="1"/>
      <c r="HC1431" s="1"/>
      <c r="HD1431" s="1"/>
      <c r="HE1431" s="1"/>
      <c r="HF1431" s="1"/>
      <c r="HG1431" s="1"/>
      <c r="HH1431" s="1"/>
    </row>
    <row r="1432" spans="1:216" x14ac:dyDescent="0.3">
      <c r="A1432" s="3"/>
      <c r="B1432" s="1"/>
      <c r="C1432" s="1"/>
      <c r="D1432" s="1"/>
      <c r="E1432" s="1"/>
      <c r="F1432" s="1"/>
      <c r="G1432" s="1"/>
      <c r="H1432" s="1"/>
      <c r="I1432" s="1"/>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1"/>
      <c r="CJ1432" s="1"/>
      <c r="CK1432" s="1"/>
      <c r="CL1432" s="1"/>
      <c r="CM1432" s="1"/>
      <c r="CN1432" s="1"/>
      <c r="CO1432" s="1"/>
      <c r="CP1432" s="1"/>
      <c r="CQ1432" s="1"/>
      <c r="CR1432" s="1"/>
      <c r="CS1432" s="1"/>
      <c r="CT1432" s="1"/>
      <c r="CU1432" s="1"/>
      <c r="CV1432" s="1"/>
      <c r="CW1432" s="1"/>
      <c r="CX1432" s="1"/>
      <c r="CY1432" s="1"/>
      <c r="CZ1432" s="1"/>
      <c r="DA1432" s="1"/>
      <c r="DB1432" s="1"/>
      <c r="DC1432" s="1"/>
      <c r="DD1432" s="1"/>
      <c r="DE1432" s="1"/>
      <c r="DF1432" s="1"/>
      <c r="DG1432" s="1"/>
      <c r="DH1432" s="1"/>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1"/>
      <c r="EI1432" s="1"/>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c r="FS1432" s="1"/>
      <c r="FT1432" s="1"/>
      <c r="FU1432" s="1"/>
      <c r="FV1432" s="1"/>
      <c r="FW1432" s="1"/>
      <c r="FX1432" s="1"/>
      <c r="FY1432" s="1"/>
      <c r="FZ1432" s="1"/>
      <c r="GA1432" s="1"/>
      <c r="GB1432" s="1"/>
      <c r="GC1432" s="1"/>
      <c r="GD1432" s="1"/>
      <c r="GE1432" s="1"/>
      <c r="GF1432" s="1"/>
      <c r="GG1432" s="1"/>
      <c r="GH1432" s="1"/>
      <c r="GI1432" s="1"/>
      <c r="GJ1432" s="1"/>
      <c r="GK1432" s="1"/>
      <c r="GL1432" s="1"/>
      <c r="GM1432" s="1"/>
      <c r="GN1432" s="1"/>
      <c r="GO1432" s="1"/>
      <c r="GP1432" s="1"/>
      <c r="GQ1432" s="1"/>
      <c r="GR1432" s="1"/>
      <c r="GS1432" s="1"/>
      <c r="GT1432" s="1"/>
      <c r="GU1432" s="1"/>
      <c r="GV1432" s="1"/>
      <c r="GW1432" s="1"/>
      <c r="GX1432" s="1"/>
      <c r="GY1432" s="1"/>
      <c r="GZ1432" s="1"/>
      <c r="HA1432" s="1"/>
      <c r="HB1432" s="1"/>
      <c r="HC1432" s="1"/>
      <c r="HD1432" s="1"/>
      <c r="HE1432" s="1"/>
      <c r="HF1432" s="1"/>
      <c r="HG1432" s="1"/>
      <c r="HH1432" s="1"/>
    </row>
    <row r="1433" spans="1:216" x14ac:dyDescent="0.3">
      <c r="A1433" s="3"/>
      <c r="B1433" s="1"/>
      <c r="C1433" s="1"/>
      <c r="D1433" s="1"/>
      <c r="E1433" s="1"/>
      <c r="F1433" s="1"/>
      <c r="G1433" s="1"/>
      <c r="H1433" s="1"/>
      <c r="I1433" s="1"/>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c r="CL1433" s="1"/>
      <c r="CM1433" s="1"/>
      <c r="CN1433" s="1"/>
      <c r="CO1433" s="1"/>
      <c r="CP1433" s="1"/>
      <c r="CQ1433" s="1"/>
      <c r="CR1433" s="1"/>
      <c r="CS1433" s="1"/>
      <c r="CT1433" s="1"/>
      <c r="CU1433" s="1"/>
      <c r="CV1433" s="1"/>
      <c r="CW1433" s="1"/>
      <c r="CX1433" s="1"/>
      <c r="CY1433" s="1"/>
      <c r="CZ1433" s="1"/>
      <c r="DA1433" s="1"/>
      <c r="DB1433" s="1"/>
      <c r="DC1433" s="1"/>
      <c r="DD1433" s="1"/>
      <c r="DE1433" s="1"/>
      <c r="DF1433" s="1"/>
      <c r="DG1433" s="1"/>
      <c r="DH1433" s="1"/>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1"/>
      <c r="EI1433" s="1"/>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1"/>
      <c r="GD1433" s="1"/>
      <c r="GE1433" s="1"/>
      <c r="GF1433" s="1"/>
      <c r="GG1433" s="1"/>
      <c r="GH1433" s="1"/>
      <c r="GI1433" s="1"/>
      <c r="GJ1433" s="1"/>
      <c r="GK1433" s="1"/>
      <c r="GL1433" s="1"/>
      <c r="GM1433" s="1"/>
      <c r="GN1433" s="1"/>
      <c r="GO1433" s="1"/>
      <c r="GP1433" s="1"/>
      <c r="GQ1433" s="1"/>
      <c r="GR1433" s="1"/>
      <c r="GS1433" s="1"/>
      <c r="GT1433" s="1"/>
      <c r="GU1433" s="1"/>
      <c r="GV1433" s="1"/>
      <c r="GW1433" s="1"/>
      <c r="GX1433" s="1"/>
      <c r="GY1433" s="1"/>
      <c r="GZ1433" s="1"/>
      <c r="HA1433" s="1"/>
      <c r="HB1433" s="1"/>
      <c r="HC1433" s="1"/>
      <c r="HD1433" s="1"/>
      <c r="HE1433" s="1"/>
      <c r="HF1433" s="1"/>
      <c r="HG1433" s="1"/>
      <c r="HH1433" s="1"/>
    </row>
    <row r="1434" spans="1:216" x14ac:dyDescent="0.3">
      <c r="A1434" s="3"/>
      <c r="B1434" s="1"/>
      <c r="C1434" s="1"/>
      <c r="D1434" s="1"/>
      <c r="E1434" s="1"/>
      <c r="F1434" s="1"/>
      <c r="G1434" s="1"/>
      <c r="H1434" s="1"/>
      <c r="I1434" s="1"/>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1"/>
      <c r="CJ1434" s="1"/>
      <c r="CK1434" s="1"/>
      <c r="CL1434" s="1"/>
      <c r="CM1434" s="1"/>
      <c r="CN1434" s="1"/>
      <c r="CO1434" s="1"/>
      <c r="CP1434" s="1"/>
      <c r="CQ1434" s="1"/>
      <c r="CR1434" s="1"/>
      <c r="CS1434" s="1"/>
      <c r="CT1434" s="1"/>
      <c r="CU1434" s="1"/>
      <c r="CV1434" s="1"/>
      <c r="CW1434" s="1"/>
      <c r="CX1434" s="1"/>
      <c r="CY1434" s="1"/>
      <c r="CZ1434" s="1"/>
      <c r="DA1434" s="1"/>
      <c r="DB1434" s="1"/>
      <c r="DC1434" s="1"/>
      <c r="DD1434" s="1"/>
      <c r="DE1434" s="1"/>
      <c r="DF1434" s="1"/>
      <c r="DG1434" s="1"/>
      <c r="DH1434" s="1"/>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1"/>
      <c r="EI1434" s="1"/>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1"/>
      <c r="GD1434" s="1"/>
      <c r="GE1434" s="1"/>
      <c r="GF1434" s="1"/>
      <c r="GG1434" s="1"/>
      <c r="GH1434" s="1"/>
      <c r="GI1434" s="1"/>
      <c r="GJ1434" s="1"/>
      <c r="GK1434" s="1"/>
      <c r="GL1434" s="1"/>
      <c r="GM1434" s="1"/>
      <c r="GN1434" s="1"/>
      <c r="GO1434" s="1"/>
      <c r="GP1434" s="1"/>
      <c r="GQ1434" s="1"/>
      <c r="GR1434" s="1"/>
      <c r="GS1434" s="1"/>
      <c r="GT1434" s="1"/>
      <c r="GU1434" s="1"/>
      <c r="GV1434" s="1"/>
      <c r="GW1434" s="1"/>
      <c r="GX1434" s="1"/>
      <c r="GY1434" s="1"/>
      <c r="GZ1434" s="1"/>
      <c r="HA1434" s="1"/>
      <c r="HB1434" s="1"/>
      <c r="HC1434" s="1"/>
      <c r="HD1434" s="1"/>
      <c r="HE1434" s="1"/>
      <c r="HF1434" s="1"/>
      <c r="HG1434" s="1"/>
      <c r="HH1434" s="1"/>
    </row>
    <row r="1435" spans="1:216" x14ac:dyDescent="0.3">
      <c r="A1435" s="3"/>
      <c r="B1435" s="1"/>
      <c r="C1435" s="1"/>
      <c r="D1435" s="1"/>
      <c r="E1435" s="1"/>
      <c r="F1435" s="1"/>
      <c r="G1435" s="1"/>
      <c r="H1435" s="1"/>
      <c r="I1435" s="1"/>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1"/>
      <c r="CJ1435" s="1"/>
      <c r="CK1435" s="1"/>
      <c r="CL1435" s="1"/>
      <c r="CM1435" s="1"/>
      <c r="CN1435" s="1"/>
      <c r="CO1435" s="1"/>
      <c r="CP1435" s="1"/>
      <c r="CQ1435" s="1"/>
      <c r="CR1435" s="1"/>
      <c r="CS1435" s="1"/>
      <c r="CT1435" s="1"/>
      <c r="CU1435" s="1"/>
      <c r="CV1435" s="1"/>
      <c r="CW1435" s="1"/>
      <c r="CX1435" s="1"/>
      <c r="CY1435" s="1"/>
      <c r="CZ1435" s="1"/>
      <c r="DA1435" s="1"/>
      <c r="DB1435" s="1"/>
      <c r="DC1435" s="1"/>
      <c r="DD1435" s="1"/>
      <c r="DE1435" s="1"/>
      <c r="DF1435" s="1"/>
      <c r="DG1435" s="1"/>
      <c r="DH1435" s="1"/>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1"/>
      <c r="EI1435" s="1"/>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1"/>
      <c r="GD1435" s="1"/>
      <c r="GE1435" s="1"/>
      <c r="GF1435" s="1"/>
      <c r="GG1435" s="1"/>
      <c r="GH1435" s="1"/>
      <c r="GI1435" s="1"/>
      <c r="GJ1435" s="1"/>
      <c r="GK1435" s="1"/>
      <c r="GL1435" s="1"/>
      <c r="GM1435" s="1"/>
      <c r="GN1435" s="1"/>
      <c r="GO1435" s="1"/>
      <c r="GP1435" s="1"/>
      <c r="GQ1435" s="1"/>
      <c r="GR1435" s="1"/>
      <c r="GS1435" s="1"/>
      <c r="GT1435" s="1"/>
      <c r="GU1435" s="1"/>
      <c r="GV1435" s="1"/>
      <c r="GW1435" s="1"/>
      <c r="GX1435" s="1"/>
      <c r="GY1435" s="1"/>
      <c r="GZ1435" s="1"/>
      <c r="HA1435" s="1"/>
      <c r="HB1435" s="1"/>
      <c r="HC1435" s="1"/>
      <c r="HD1435" s="1"/>
      <c r="HE1435" s="1"/>
      <c r="HF1435" s="1"/>
      <c r="HG1435" s="1"/>
      <c r="HH1435" s="1"/>
    </row>
    <row r="1436" spans="1:216" x14ac:dyDescent="0.3">
      <c r="A1436" s="3"/>
      <c r="B1436" s="1"/>
      <c r="C1436" s="1"/>
      <c r="D1436" s="1"/>
      <c r="E1436" s="1"/>
      <c r="F1436" s="1"/>
      <c r="G1436" s="1"/>
      <c r="H1436" s="1"/>
      <c r="I1436" s="1"/>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1"/>
      <c r="CJ1436" s="1"/>
      <c r="CK1436" s="1"/>
      <c r="CL1436" s="1"/>
      <c r="CM1436" s="1"/>
      <c r="CN1436" s="1"/>
      <c r="CO1436" s="1"/>
      <c r="CP1436" s="1"/>
      <c r="CQ1436" s="1"/>
      <c r="CR1436" s="1"/>
      <c r="CS1436" s="1"/>
      <c r="CT1436" s="1"/>
      <c r="CU1436" s="1"/>
      <c r="CV1436" s="1"/>
      <c r="CW1436" s="1"/>
      <c r="CX1436" s="1"/>
      <c r="CY1436" s="1"/>
      <c r="CZ1436" s="1"/>
      <c r="DA1436" s="1"/>
      <c r="DB1436" s="1"/>
      <c r="DC1436" s="1"/>
      <c r="DD1436" s="1"/>
      <c r="DE1436" s="1"/>
      <c r="DF1436" s="1"/>
      <c r="DG1436" s="1"/>
      <c r="DH1436" s="1"/>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1"/>
      <c r="EI1436" s="1"/>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1"/>
      <c r="GD1436" s="1"/>
      <c r="GE1436" s="1"/>
      <c r="GF1436" s="1"/>
      <c r="GG1436" s="1"/>
      <c r="GH1436" s="1"/>
      <c r="GI1436" s="1"/>
      <c r="GJ1436" s="1"/>
      <c r="GK1436" s="1"/>
      <c r="GL1436" s="1"/>
      <c r="GM1436" s="1"/>
      <c r="GN1436" s="1"/>
      <c r="GO1436" s="1"/>
      <c r="GP1436" s="1"/>
      <c r="GQ1436" s="1"/>
      <c r="GR1436" s="1"/>
      <c r="GS1436" s="1"/>
      <c r="GT1436" s="1"/>
      <c r="GU1436" s="1"/>
      <c r="GV1436" s="1"/>
      <c r="GW1436" s="1"/>
      <c r="GX1436" s="1"/>
      <c r="GY1436" s="1"/>
      <c r="GZ1436" s="1"/>
      <c r="HA1436" s="1"/>
      <c r="HB1436" s="1"/>
      <c r="HC1436" s="1"/>
      <c r="HD1436" s="1"/>
      <c r="HE1436" s="1"/>
      <c r="HF1436" s="1"/>
      <c r="HG1436" s="1"/>
      <c r="HH1436" s="1"/>
    </row>
    <row r="1437" spans="1:216" x14ac:dyDescent="0.3">
      <c r="A1437" s="3"/>
      <c r="B1437" s="1"/>
      <c r="C1437" s="1"/>
      <c r="D1437" s="1"/>
      <c r="E1437" s="1"/>
      <c r="F1437" s="1"/>
      <c r="G1437" s="1"/>
      <c r="H1437" s="1"/>
      <c r="I1437" s="1"/>
      <c r="J1437" s="1"/>
      <c r="K1437" s="1"/>
      <c r="L1437" s="1"/>
      <c r="M1437" s="1"/>
      <c r="N1437" s="1"/>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1"/>
      <c r="CJ1437" s="1"/>
      <c r="CK1437" s="1"/>
      <c r="CL1437" s="1"/>
      <c r="CM1437" s="1"/>
      <c r="CN1437" s="1"/>
      <c r="CO1437" s="1"/>
      <c r="CP1437" s="1"/>
      <c r="CQ1437" s="1"/>
      <c r="CR1437" s="1"/>
      <c r="CS1437" s="1"/>
      <c r="CT1437" s="1"/>
      <c r="CU1437" s="1"/>
      <c r="CV1437" s="1"/>
      <c r="CW1437" s="1"/>
      <c r="CX1437" s="1"/>
      <c r="CY1437" s="1"/>
      <c r="CZ1437" s="1"/>
      <c r="DA1437" s="1"/>
      <c r="DB1437" s="1"/>
      <c r="DC1437" s="1"/>
      <c r="DD1437" s="1"/>
      <c r="DE1437" s="1"/>
      <c r="DF1437" s="1"/>
      <c r="DG1437" s="1"/>
      <c r="DH1437" s="1"/>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1"/>
      <c r="EI1437" s="1"/>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1"/>
      <c r="GD1437" s="1"/>
      <c r="GE1437" s="1"/>
      <c r="GF1437" s="1"/>
      <c r="GG1437" s="1"/>
      <c r="GH1437" s="1"/>
      <c r="GI1437" s="1"/>
      <c r="GJ1437" s="1"/>
      <c r="GK1437" s="1"/>
      <c r="GL1437" s="1"/>
      <c r="GM1437" s="1"/>
      <c r="GN1437" s="1"/>
      <c r="GO1437" s="1"/>
      <c r="GP1437" s="1"/>
      <c r="GQ1437" s="1"/>
      <c r="GR1437" s="1"/>
      <c r="GS1437" s="1"/>
      <c r="GT1437" s="1"/>
      <c r="GU1437" s="1"/>
      <c r="GV1437" s="1"/>
      <c r="GW1437" s="1"/>
      <c r="GX1437" s="1"/>
      <c r="GY1437" s="1"/>
      <c r="GZ1437" s="1"/>
      <c r="HA1437" s="1"/>
      <c r="HB1437" s="1"/>
      <c r="HC1437" s="1"/>
      <c r="HD1437" s="1"/>
      <c r="HE1437" s="1"/>
      <c r="HF1437" s="1"/>
      <c r="HG1437" s="1"/>
      <c r="HH1437" s="1"/>
    </row>
    <row r="1438" spans="1:216" x14ac:dyDescent="0.3">
      <c r="A1438" s="3"/>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c r="GY1438" s="1"/>
      <c r="GZ1438" s="1"/>
      <c r="HA1438" s="1"/>
      <c r="HB1438" s="1"/>
      <c r="HC1438" s="1"/>
      <c r="HD1438" s="1"/>
      <c r="HE1438" s="1"/>
      <c r="HF1438" s="1"/>
      <c r="HG1438" s="1"/>
      <c r="HH1438" s="1"/>
    </row>
    <row r="1439" spans="1:216" x14ac:dyDescent="0.3">
      <c r="A1439" s="3"/>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GS1439" s="1"/>
      <c r="GT1439" s="1"/>
      <c r="GU1439" s="1"/>
      <c r="GV1439" s="1"/>
      <c r="GW1439" s="1"/>
      <c r="GX1439" s="1"/>
      <c r="GY1439" s="1"/>
      <c r="GZ1439" s="1"/>
      <c r="HA1439" s="1"/>
      <c r="HB1439" s="1"/>
      <c r="HC1439" s="1"/>
      <c r="HD1439" s="1"/>
      <c r="HE1439" s="1"/>
      <c r="HF1439" s="1"/>
      <c r="HG1439" s="1"/>
      <c r="HH1439" s="1"/>
    </row>
    <row r="1440" spans="1:216" x14ac:dyDescent="0.3">
      <c r="A1440" s="3"/>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c r="GL1440" s="1"/>
      <c r="GM1440" s="1"/>
      <c r="GN1440" s="1"/>
      <c r="GO1440" s="1"/>
      <c r="GP1440" s="1"/>
      <c r="GQ1440" s="1"/>
      <c r="GR1440" s="1"/>
      <c r="GS1440" s="1"/>
      <c r="GT1440" s="1"/>
      <c r="GU1440" s="1"/>
      <c r="GV1440" s="1"/>
      <c r="GW1440" s="1"/>
      <c r="GX1440" s="1"/>
      <c r="GY1440" s="1"/>
      <c r="GZ1440" s="1"/>
      <c r="HA1440" s="1"/>
      <c r="HB1440" s="1"/>
      <c r="HC1440" s="1"/>
      <c r="HD1440" s="1"/>
      <c r="HE1440" s="1"/>
      <c r="HF1440" s="1"/>
      <c r="HG1440" s="1"/>
      <c r="HH1440" s="1"/>
    </row>
    <row r="1441" spans="1:216" x14ac:dyDescent="0.3">
      <c r="A1441" s="3"/>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c r="EF1441" s="1"/>
      <c r="EG1441" s="1"/>
      <c r="EH1441" s="1"/>
      <c r="EI1441" s="1"/>
      <c r="EJ1441" s="1"/>
      <c r="EK1441" s="1"/>
      <c r="EL1441" s="1"/>
      <c r="EM1441" s="1"/>
      <c r="EN1441" s="1"/>
      <c r="EO1441" s="1"/>
      <c r="EP1441" s="1"/>
      <c r="EQ1441" s="1"/>
      <c r="ER1441" s="1"/>
      <c r="ES1441" s="1"/>
      <c r="ET1441" s="1"/>
      <c r="EU1441" s="1"/>
      <c r="EV1441" s="1"/>
      <c r="EW1441" s="1"/>
      <c r="EX1441" s="1"/>
      <c r="EY1441" s="1"/>
      <c r="EZ1441" s="1"/>
      <c r="FA1441" s="1"/>
      <c r="FB1441" s="1"/>
      <c r="FC1441" s="1"/>
      <c r="FD1441" s="1"/>
      <c r="FE1441" s="1"/>
      <c r="FF1441" s="1"/>
      <c r="FG1441" s="1"/>
      <c r="FH1441" s="1"/>
      <c r="FI1441" s="1"/>
      <c r="FJ1441" s="1"/>
      <c r="FK1441" s="1"/>
      <c r="FL1441" s="1"/>
      <c r="FM1441" s="1"/>
      <c r="FN1441" s="1"/>
      <c r="FO1441" s="1"/>
      <c r="FP1441" s="1"/>
      <c r="FQ1441" s="1"/>
      <c r="FR1441" s="1"/>
      <c r="FS1441" s="1"/>
      <c r="FT1441" s="1"/>
      <c r="FU1441" s="1"/>
      <c r="FV1441" s="1"/>
      <c r="FW1441" s="1"/>
      <c r="FX1441" s="1"/>
      <c r="FY1441" s="1"/>
      <c r="FZ1441" s="1"/>
      <c r="GA1441" s="1"/>
      <c r="GB1441" s="1"/>
      <c r="GC1441" s="1"/>
      <c r="GD1441" s="1"/>
      <c r="GE1441" s="1"/>
      <c r="GF1441" s="1"/>
      <c r="GG1441" s="1"/>
      <c r="GH1441" s="1"/>
      <c r="GI1441" s="1"/>
      <c r="GJ1441" s="1"/>
      <c r="GK1441" s="1"/>
      <c r="GL1441" s="1"/>
      <c r="GM1441" s="1"/>
      <c r="GN1441" s="1"/>
      <c r="GO1441" s="1"/>
      <c r="GP1441" s="1"/>
      <c r="GQ1441" s="1"/>
      <c r="GR1441" s="1"/>
      <c r="GS1441" s="1"/>
      <c r="GT1441" s="1"/>
      <c r="GU1441" s="1"/>
      <c r="GV1441" s="1"/>
      <c r="GW1441" s="1"/>
      <c r="GX1441" s="1"/>
      <c r="GY1441" s="1"/>
      <c r="GZ1441" s="1"/>
      <c r="HA1441" s="1"/>
      <c r="HB1441" s="1"/>
      <c r="HC1441" s="1"/>
      <c r="HD1441" s="1"/>
      <c r="HE1441" s="1"/>
      <c r="HF1441" s="1"/>
      <c r="HG1441" s="1"/>
      <c r="HH1441" s="1"/>
    </row>
    <row r="1442" spans="1:216" x14ac:dyDescent="0.3">
      <c r="A1442" s="3"/>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GS1442" s="1"/>
      <c r="GT1442" s="1"/>
      <c r="GU1442" s="1"/>
      <c r="GV1442" s="1"/>
      <c r="GW1442" s="1"/>
      <c r="GX1442" s="1"/>
      <c r="GY1442" s="1"/>
      <c r="GZ1442" s="1"/>
      <c r="HA1442" s="1"/>
      <c r="HB1442" s="1"/>
      <c r="HC1442" s="1"/>
      <c r="HD1442" s="1"/>
      <c r="HE1442" s="1"/>
      <c r="HF1442" s="1"/>
      <c r="HG1442" s="1"/>
      <c r="HH1442" s="1"/>
    </row>
    <row r="1443" spans="1:216" x14ac:dyDescent="0.3">
      <c r="A1443" s="3"/>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c r="FN1443" s="1"/>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c r="GL1443" s="1"/>
      <c r="GM1443" s="1"/>
      <c r="GN1443" s="1"/>
      <c r="GO1443" s="1"/>
      <c r="GP1443" s="1"/>
      <c r="GQ1443" s="1"/>
      <c r="GR1443" s="1"/>
      <c r="GS1443" s="1"/>
      <c r="GT1443" s="1"/>
      <c r="GU1443" s="1"/>
      <c r="GV1443" s="1"/>
      <c r="GW1443" s="1"/>
      <c r="GX1443" s="1"/>
      <c r="GY1443" s="1"/>
      <c r="GZ1443" s="1"/>
      <c r="HA1443" s="1"/>
      <c r="HB1443" s="1"/>
      <c r="HC1443" s="1"/>
      <c r="HD1443" s="1"/>
      <c r="HE1443" s="1"/>
      <c r="HF1443" s="1"/>
      <c r="HG1443" s="1"/>
      <c r="HH1443" s="1"/>
    </row>
    <row r="1444" spans="1:216" x14ac:dyDescent="0.3">
      <c r="A1444" s="3"/>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c r="GM1444" s="1"/>
      <c r="GN1444" s="1"/>
      <c r="GO1444" s="1"/>
      <c r="GP1444" s="1"/>
      <c r="GQ1444" s="1"/>
      <c r="GR1444" s="1"/>
      <c r="GS1444" s="1"/>
      <c r="GT1444" s="1"/>
      <c r="GU1444" s="1"/>
      <c r="GV1444" s="1"/>
      <c r="GW1444" s="1"/>
      <c r="GX1444" s="1"/>
      <c r="GY1444" s="1"/>
      <c r="GZ1444" s="1"/>
      <c r="HA1444" s="1"/>
      <c r="HB1444" s="1"/>
      <c r="HC1444" s="1"/>
      <c r="HD1444" s="1"/>
      <c r="HE1444" s="1"/>
      <c r="HF1444" s="1"/>
      <c r="HG1444" s="1"/>
      <c r="HH1444" s="1"/>
    </row>
    <row r="1445" spans="1:216" x14ac:dyDescent="0.3">
      <c r="A1445" s="3"/>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c r="GY1445" s="1"/>
      <c r="GZ1445" s="1"/>
      <c r="HA1445" s="1"/>
      <c r="HB1445" s="1"/>
      <c r="HC1445" s="1"/>
      <c r="HD1445" s="1"/>
      <c r="HE1445" s="1"/>
      <c r="HF1445" s="1"/>
      <c r="HG1445" s="1"/>
      <c r="HH1445" s="1"/>
    </row>
    <row r="1446" spans="1:216" x14ac:dyDescent="0.3">
      <c r="A1446" s="3"/>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row>
    <row r="1447" spans="1:216" x14ac:dyDescent="0.3">
      <c r="A1447" s="3"/>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c r="GL1447" s="1"/>
      <c r="GM1447" s="1"/>
      <c r="GN1447" s="1"/>
      <c r="GO1447" s="1"/>
      <c r="GP1447" s="1"/>
      <c r="GQ1447" s="1"/>
      <c r="GR1447" s="1"/>
      <c r="GS1447" s="1"/>
      <c r="GT1447" s="1"/>
      <c r="GU1447" s="1"/>
      <c r="GV1447" s="1"/>
      <c r="GW1447" s="1"/>
      <c r="GX1447" s="1"/>
      <c r="GY1447" s="1"/>
      <c r="GZ1447" s="1"/>
      <c r="HA1447" s="1"/>
      <c r="HB1447" s="1"/>
      <c r="HC1447" s="1"/>
      <c r="HD1447" s="1"/>
      <c r="HE1447" s="1"/>
      <c r="HF1447" s="1"/>
      <c r="HG1447" s="1"/>
      <c r="HH1447" s="1"/>
    </row>
    <row r="1448" spans="1:216" x14ac:dyDescent="0.3">
      <c r="A1448" s="3"/>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c r="FN1448" s="1"/>
      <c r="FO1448" s="1"/>
      <c r="FP1448" s="1"/>
      <c r="FQ1448" s="1"/>
      <c r="FR1448" s="1"/>
      <c r="FS1448" s="1"/>
      <c r="FT1448" s="1"/>
      <c r="FU1448" s="1"/>
      <c r="FV1448" s="1"/>
      <c r="FW1448" s="1"/>
      <c r="FX1448" s="1"/>
      <c r="FY1448" s="1"/>
      <c r="FZ1448" s="1"/>
      <c r="GA1448" s="1"/>
      <c r="GB1448" s="1"/>
      <c r="GC1448" s="1"/>
      <c r="GD1448" s="1"/>
      <c r="GE1448" s="1"/>
      <c r="GF1448" s="1"/>
      <c r="GG1448" s="1"/>
      <c r="GH1448" s="1"/>
      <c r="GI1448" s="1"/>
      <c r="GJ1448" s="1"/>
      <c r="GK1448" s="1"/>
      <c r="GL1448" s="1"/>
      <c r="GM1448" s="1"/>
      <c r="GN1448" s="1"/>
      <c r="GO1448" s="1"/>
      <c r="GP1448" s="1"/>
      <c r="GQ1448" s="1"/>
      <c r="GR1448" s="1"/>
      <c r="GS1448" s="1"/>
      <c r="GT1448" s="1"/>
      <c r="GU1448" s="1"/>
      <c r="GV1448" s="1"/>
      <c r="GW1448" s="1"/>
      <c r="GX1448" s="1"/>
      <c r="GY1448" s="1"/>
      <c r="GZ1448" s="1"/>
      <c r="HA1448" s="1"/>
      <c r="HB1448" s="1"/>
      <c r="HC1448" s="1"/>
      <c r="HD1448" s="1"/>
      <c r="HE1448" s="1"/>
      <c r="HF1448" s="1"/>
      <c r="HG1448" s="1"/>
      <c r="HH1448" s="1"/>
    </row>
    <row r="1449" spans="1:216" x14ac:dyDescent="0.3">
      <c r="A1449" s="3"/>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c r="EF1449" s="1"/>
      <c r="EG1449" s="1"/>
      <c r="EH1449" s="1"/>
      <c r="EI1449" s="1"/>
      <c r="EJ1449" s="1"/>
      <c r="EK1449" s="1"/>
      <c r="EL1449" s="1"/>
      <c r="EM1449" s="1"/>
      <c r="EN1449" s="1"/>
      <c r="EO1449" s="1"/>
      <c r="EP1449" s="1"/>
      <c r="EQ1449" s="1"/>
      <c r="ER1449" s="1"/>
      <c r="ES1449" s="1"/>
      <c r="ET1449" s="1"/>
      <c r="EU1449" s="1"/>
      <c r="EV1449" s="1"/>
      <c r="EW1449" s="1"/>
      <c r="EX1449" s="1"/>
      <c r="EY1449" s="1"/>
      <c r="EZ1449" s="1"/>
      <c r="FA1449" s="1"/>
      <c r="FB1449" s="1"/>
      <c r="FC1449" s="1"/>
      <c r="FD1449" s="1"/>
      <c r="FE1449" s="1"/>
      <c r="FF1449" s="1"/>
      <c r="FG1449" s="1"/>
      <c r="FH1449" s="1"/>
      <c r="FI1449" s="1"/>
      <c r="FJ1449" s="1"/>
      <c r="FK1449" s="1"/>
      <c r="FL1449" s="1"/>
      <c r="FM1449" s="1"/>
      <c r="FN1449" s="1"/>
      <c r="FO1449" s="1"/>
      <c r="FP1449" s="1"/>
      <c r="FQ1449" s="1"/>
      <c r="FR1449" s="1"/>
      <c r="FS1449" s="1"/>
      <c r="FT1449" s="1"/>
      <c r="FU1449" s="1"/>
      <c r="FV1449" s="1"/>
      <c r="FW1449" s="1"/>
      <c r="FX1449" s="1"/>
      <c r="FY1449" s="1"/>
      <c r="FZ1449" s="1"/>
      <c r="GA1449" s="1"/>
      <c r="GB1449" s="1"/>
      <c r="GC1449" s="1"/>
      <c r="GD1449" s="1"/>
      <c r="GE1449" s="1"/>
      <c r="GF1449" s="1"/>
      <c r="GG1449" s="1"/>
      <c r="GH1449" s="1"/>
      <c r="GI1449" s="1"/>
      <c r="GJ1449" s="1"/>
      <c r="GK1449" s="1"/>
      <c r="GL1449" s="1"/>
      <c r="GM1449" s="1"/>
      <c r="GN1449" s="1"/>
      <c r="GO1449" s="1"/>
      <c r="GP1449" s="1"/>
      <c r="GQ1449" s="1"/>
      <c r="GR1449" s="1"/>
      <c r="GS1449" s="1"/>
      <c r="GT1449" s="1"/>
      <c r="GU1449" s="1"/>
      <c r="GV1449" s="1"/>
      <c r="GW1449" s="1"/>
      <c r="GX1449" s="1"/>
      <c r="GY1449" s="1"/>
      <c r="GZ1449" s="1"/>
      <c r="HA1449" s="1"/>
      <c r="HB1449" s="1"/>
      <c r="HC1449" s="1"/>
      <c r="HD1449" s="1"/>
      <c r="HE1449" s="1"/>
      <c r="HF1449" s="1"/>
      <c r="HG1449" s="1"/>
      <c r="HH1449" s="1"/>
    </row>
    <row r="1450" spans="1:216" x14ac:dyDescent="0.3">
      <c r="A1450" s="3"/>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c r="GL1450" s="1"/>
      <c r="GM1450" s="1"/>
      <c r="GN1450" s="1"/>
      <c r="GO1450" s="1"/>
      <c r="GP1450" s="1"/>
      <c r="GQ1450" s="1"/>
      <c r="GR1450" s="1"/>
      <c r="GS1450" s="1"/>
      <c r="GT1450" s="1"/>
      <c r="GU1450" s="1"/>
      <c r="GV1450" s="1"/>
      <c r="GW1450" s="1"/>
      <c r="GX1450" s="1"/>
      <c r="GY1450" s="1"/>
      <c r="GZ1450" s="1"/>
      <c r="HA1450" s="1"/>
      <c r="HB1450" s="1"/>
      <c r="HC1450" s="1"/>
      <c r="HD1450" s="1"/>
      <c r="HE1450" s="1"/>
      <c r="HF1450" s="1"/>
      <c r="HG1450" s="1"/>
      <c r="HH1450" s="1"/>
    </row>
    <row r="1451" spans="1:216" x14ac:dyDescent="0.3">
      <c r="A1451" s="3"/>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GS1451" s="1"/>
      <c r="GT1451" s="1"/>
      <c r="GU1451" s="1"/>
      <c r="GV1451" s="1"/>
      <c r="GW1451" s="1"/>
      <c r="GX1451" s="1"/>
      <c r="GY1451" s="1"/>
      <c r="GZ1451" s="1"/>
      <c r="HA1451" s="1"/>
      <c r="HB1451" s="1"/>
      <c r="HC1451" s="1"/>
      <c r="HD1451" s="1"/>
      <c r="HE1451" s="1"/>
      <c r="HF1451" s="1"/>
      <c r="HG1451" s="1"/>
      <c r="HH1451" s="1"/>
    </row>
    <row r="1452" spans="1:216" x14ac:dyDescent="0.3">
      <c r="A1452" s="3"/>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c r="GL1452" s="1"/>
      <c r="GM1452" s="1"/>
      <c r="GN1452" s="1"/>
      <c r="GO1452" s="1"/>
      <c r="GP1452" s="1"/>
      <c r="GQ1452" s="1"/>
      <c r="GR1452" s="1"/>
      <c r="GS1452" s="1"/>
      <c r="GT1452" s="1"/>
      <c r="GU1452" s="1"/>
      <c r="GV1452" s="1"/>
      <c r="GW1452" s="1"/>
      <c r="GX1452" s="1"/>
      <c r="GY1452" s="1"/>
      <c r="GZ1452" s="1"/>
      <c r="HA1452" s="1"/>
      <c r="HB1452" s="1"/>
      <c r="HC1452" s="1"/>
      <c r="HD1452" s="1"/>
      <c r="HE1452" s="1"/>
      <c r="HF1452" s="1"/>
      <c r="HG1452" s="1"/>
      <c r="HH1452" s="1"/>
    </row>
    <row r="1453" spans="1:216" x14ac:dyDescent="0.3">
      <c r="A1453" s="3"/>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c r="GL1453" s="1"/>
      <c r="GM1453" s="1"/>
      <c r="GN1453" s="1"/>
      <c r="GO1453" s="1"/>
      <c r="GP1453" s="1"/>
      <c r="GQ1453" s="1"/>
      <c r="GR1453" s="1"/>
      <c r="GS1453" s="1"/>
      <c r="GT1453" s="1"/>
      <c r="GU1453" s="1"/>
      <c r="GV1453" s="1"/>
      <c r="GW1453" s="1"/>
      <c r="GX1453" s="1"/>
      <c r="GY1453" s="1"/>
      <c r="GZ1453" s="1"/>
      <c r="HA1453" s="1"/>
      <c r="HB1453" s="1"/>
      <c r="HC1453" s="1"/>
      <c r="HD1453" s="1"/>
      <c r="HE1453" s="1"/>
      <c r="HF1453" s="1"/>
      <c r="HG1453" s="1"/>
      <c r="HH1453" s="1"/>
    </row>
    <row r="1454" spans="1:216" x14ac:dyDescent="0.3">
      <c r="A1454" s="3"/>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c r="FN1454" s="1"/>
      <c r="FO1454" s="1"/>
      <c r="FP1454" s="1"/>
      <c r="FQ1454" s="1"/>
      <c r="FR1454" s="1"/>
      <c r="FS1454" s="1"/>
      <c r="FT1454" s="1"/>
      <c r="FU1454" s="1"/>
      <c r="FV1454" s="1"/>
      <c r="FW1454" s="1"/>
      <c r="FX1454" s="1"/>
      <c r="FY1454" s="1"/>
      <c r="FZ1454" s="1"/>
      <c r="GA1454" s="1"/>
      <c r="GB1454" s="1"/>
      <c r="GC1454" s="1"/>
      <c r="GD1454" s="1"/>
      <c r="GE1454" s="1"/>
      <c r="GF1454" s="1"/>
      <c r="GG1454" s="1"/>
      <c r="GH1454" s="1"/>
      <c r="GI1454" s="1"/>
      <c r="GJ1454" s="1"/>
      <c r="GK1454" s="1"/>
      <c r="GL1454" s="1"/>
      <c r="GM1454" s="1"/>
      <c r="GN1454" s="1"/>
      <c r="GO1454" s="1"/>
      <c r="GP1454" s="1"/>
      <c r="GQ1454" s="1"/>
      <c r="GR1454" s="1"/>
      <c r="GS1454" s="1"/>
      <c r="GT1454" s="1"/>
      <c r="GU1454" s="1"/>
      <c r="GV1454" s="1"/>
      <c r="GW1454" s="1"/>
      <c r="GX1454" s="1"/>
      <c r="GY1454" s="1"/>
      <c r="GZ1454" s="1"/>
      <c r="HA1454" s="1"/>
      <c r="HB1454" s="1"/>
      <c r="HC1454" s="1"/>
      <c r="HD1454" s="1"/>
      <c r="HE1454" s="1"/>
      <c r="HF1454" s="1"/>
      <c r="HG1454" s="1"/>
      <c r="HH1454" s="1"/>
    </row>
    <row r="1455" spans="1:216" x14ac:dyDescent="0.3">
      <c r="A1455" s="3"/>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GS1455" s="1"/>
      <c r="GT1455" s="1"/>
      <c r="GU1455" s="1"/>
      <c r="GV1455" s="1"/>
      <c r="GW1455" s="1"/>
      <c r="GX1455" s="1"/>
      <c r="GY1455" s="1"/>
      <c r="GZ1455" s="1"/>
      <c r="HA1455" s="1"/>
      <c r="HB1455" s="1"/>
      <c r="HC1455" s="1"/>
      <c r="HD1455" s="1"/>
      <c r="HE1455" s="1"/>
      <c r="HF1455" s="1"/>
      <c r="HG1455" s="1"/>
      <c r="HH1455" s="1"/>
    </row>
    <row r="1456" spans="1:216" x14ac:dyDescent="0.3">
      <c r="A1456" s="3"/>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GS1456" s="1"/>
      <c r="GT1456" s="1"/>
      <c r="GU1456" s="1"/>
      <c r="GV1456" s="1"/>
      <c r="GW1456" s="1"/>
      <c r="GX1456" s="1"/>
      <c r="GY1456" s="1"/>
      <c r="GZ1456" s="1"/>
      <c r="HA1456" s="1"/>
      <c r="HB1456" s="1"/>
      <c r="HC1456" s="1"/>
      <c r="HD1456" s="1"/>
      <c r="HE1456" s="1"/>
      <c r="HF1456" s="1"/>
      <c r="HG1456" s="1"/>
      <c r="HH1456" s="1"/>
    </row>
    <row r="1457" spans="1:216" x14ac:dyDescent="0.3">
      <c r="A1457" s="3"/>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c r="EF1457" s="1"/>
      <c r="EG1457" s="1"/>
      <c r="EH1457" s="1"/>
      <c r="EI1457" s="1"/>
      <c r="EJ1457" s="1"/>
      <c r="EK1457" s="1"/>
      <c r="EL1457" s="1"/>
      <c r="EM1457" s="1"/>
      <c r="EN1457" s="1"/>
      <c r="EO1457" s="1"/>
      <c r="EP1457" s="1"/>
      <c r="EQ1457" s="1"/>
      <c r="ER1457" s="1"/>
      <c r="ES1457" s="1"/>
      <c r="ET1457" s="1"/>
      <c r="EU1457" s="1"/>
      <c r="EV1457" s="1"/>
      <c r="EW1457" s="1"/>
      <c r="EX1457" s="1"/>
      <c r="EY1457" s="1"/>
      <c r="EZ1457" s="1"/>
      <c r="FA1457" s="1"/>
      <c r="FB1457" s="1"/>
      <c r="FC1457" s="1"/>
      <c r="FD1457" s="1"/>
      <c r="FE1457" s="1"/>
      <c r="FF1457" s="1"/>
      <c r="FG1457" s="1"/>
      <c r="FH1457" s="1"/>
      <c r="FI1457" s="1"/>
      <c r="FJ1457" s="1"/>
      <c r="FK1457" s="1"/>
      <c r="FL1457" s="1"/>
      <c r="FM1457" s="1"/>
      <c r="FN1457" s="1"/>
      <c r="FO1457" s="1"/>
      <c r="FP1457" s="1"/>
      <c r="FQ1457" s="1"/>
      <c r="FR1457" s="1"/>
      <c r="FS1457" s="1"/>
      <c r="FT1457" s="1"/>
      <c r="FU1457" s="1"/>
      <c r="FV1457" s="1"/>
      <c r="FW1457" s="1"/>
      <c r="FX1457" s="1"/>
      <c r="FY1457" s="1"/>
      <c r="FZ1457" s="1"/>
      <c r="GA1457" s="1"/>
      <c r="GB1457" s="1"/>
      <c r="GC1457" s="1"/>
      <c r="GD1457" s="1"/>
      <c r="GE1457" s="1"/>
      <c r="GF1457" s="1"/>
      <c r="GG1457" s="1"/>
      <c r="GH1457" s="1"/>
      <c r="GI1457" s="1"/>
      <c r="GJ1457" s="1"/>
      <c r="GK1457" s="1"/>
      <c r="GL1457" s="1"/>
      <c r="GM1457" s="1"/>
      <c r="GN1457" s="1"/>
      <c r="GO1457" s="1"/>
      <c r="GP1457" s="1"/>
      <c r="GQ1457" s="1"/>
      <c r="GR1457" s="1"/>
      <c r="GS1457" s="1"/>
      <c r="GT1457" s="1"/>
      <c r="GU1457" s="1"/>
      <c r="GV1457" s="1"/>
      <c r="GW1457" s="1"/>
      <c r="GX1457" s="1"/>
      <c r="GY1457" s="1"/>
      <c r="GZ1457" s="1"/>
      <c r="HA1457" s="1"/>
      <c r="HB1457" s="1"/>
      <c r="HC1457" s="1"/>
      <c r="HD1457" s="1"/>
      <c r="HE1457" s="1"/>
      <c r="HF1457" s="1"/>
      <c r="HG1457" s="1"/>
      <c r="HH1457" s="1"/>
    </row>
    <row r="1458" spans="1:216" x14ac:dyDescent="0.3">
      <c r="A1458" s="3"/>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GS1458" s="1"/>
      <c r="GT1458" s="1"/>
      <c r="GU1458" s="1"/>
      <c r="GV1458" s="1"/>
      <c r="GW1458" s="1"/>
      <c r="GX1458" s="1"/>
      <c r="GY1458" s="1"/>
      <c r="GZ1458" s="1"/>
      <c r="HA1458" s="1"/>
      <c r="HB1458" s="1"/>
      <c r="HC1458" s="1"/>
      <c r="HD1458" s="1"/>
      <c r="HE1458" s="1"/>
      <c r="HF1458" s="1"/>
      <c r="HG1458" s="1"/>
      <c r="HH1458" s="1"/>
    </row>
    <row r="1459" spans="1:216" x14ac:dyDescent="0.3">
      <c r="A1459" s="3"/>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row>
    <row r="1460" spans="1:216" x14ac:dyDescent="0.3">
      <c r="A1460" s="3"/>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c r="GL1460" s="1"/>
      <c r="GM1460" s="1"/>
      <c r="GN1460" s="1"/>
      <c r="GO1460" s="1"/>
      <c r="GP1460" s="1"/>
      <c r="GQ1460" s="1"/>
      <c r="GR1460" s="1"/>
      <c r="GS1460" s="1"/>
      <c r="GT1460" s="1"/>
      <c r="GU1460" s="1"/>
      <c r="GV1460" s="1"/>
      <c r="GW1460" s="1"/>
      <c r="GX1460" s="1"/>
      <c r="GY1460" s="1"/>
      <c r="GZ1460" s="1"/>
      <c r="HA1460" s="1"/>
      <c r="HB1460" s="1"/>
      <c r="HC1460" s="1"/>
      <c r="HD1460" s="1"/>
      <c r="HE1460" s="1"/>
      <c r="HF1460" s="1"/>
      <c r="HG1460" s="1"/>
      <c r="HH1460" s="1"/>
    </row>
    <row r="1461" spans="1:216" x14ac:dyDescent="0.3">
      <c r="A1461" s="3"/>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GS1461" s="1"/>
      <c r="GT1461" s="1"/>
      <c r="GU1461" s="1"/>
      <c r="GV1461" s="1"/>
      <c r="GW1461" s="1"/>
      <c r="GX1461" s="1"/>
      <c r="GY1461" s="1"/>
      <c r="GZ1461" s="1"/>
      <c r="HA1461" s="1"/>
      <c r="HB1461" s="1"/>
      <c r="HC1461" s="1"/>
      <c r="HD1461" s="1"/>
      <c r="HE1461" s="1"/>
      <c r="HF1461" s="1"/>
      <c r="HG1461" s="1"/>
      <c r="HH1461" s="1"/>
    </row>
    <row r="1462" spans="1:216" x14ac:dyDescent="0.3">
      <c r="A1462" s="3"/>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c r="FF1462" s="1"/>
      <c r="FG1462" s="1"/>
      <c r="FH1462" s="1"/>
      <c r="FI1462" s="1"/>
      <c r="FJ1462" s="1"/>
      <c r="FK1462" s="1"/>
      <c r="FL1462" s="1"/>
      <c r="FM1462" s="1"/>
      <c r="FN1462" s="1"/>
      <c r="FO1462" s="1"/>
      <c r="FP1462" s="1"/>
      <c r="FQ1462" s="1"/>
      <c r="FR1462" s="1"/>
      <c r="FS1462" s="1"/>
      <c r="FT1462" s="1"/>
      <c r="FU1462" s="1"/>
      <c r="FV1462" s="1"/>
      <c r="FW1462" s="1"/>
      <c r="FX1462" s="1"/>
      <c r="FY1462" s="1"/>
      <c r="FZ1462" s="1"/>
      <c r="GA1462" s="1"/>
      <c r="GB1462" s="1"/>
      <c r="GC1462" s="1"/>
      <c r="GD1462" s="1"/>
      <c r="GE1462" s="1"/>
      <c r="GF1462" s="1"/>
      <c r="GG1462" s="1"/>
      <c r="GH1462" s="1"/>
      <c r="GI1462" s="1"/>
      <c r="GJ1462" s="1"/>
      <c r="GK1462" s="1"/>
      <c r="GL1462" s="1"/>
      <c r="GM1462" s="1"/>
      <c r="GN1462" s="1"/>
      <c r="GO1462" s="1"/>
      <c r="GP1462" s="1"/>
      <c r="GQ1462" s="1"/>
      <c r="GR1462" s="1"/>
      <c r="GS1462" s="1"/>
      <c r="GT1462" s="1"/>
      <c r="GU1462" s="1"/>
      <c r="GV1462" s="1"/>
      <c r="GW1462" s="1"/>
      <c r="GX1462" s="1"/>
      <c r="GY1462" s="1"/>
      <c r="GZ1462" s="1"/>
      <c r="HA1462" s="1"/>
      <c r="HB1462" s="1"/>
      <c r="HC1462" s="1"/>
      <c r="HD1462" s="1"/>
      <c r="HE1462" s="1"/>
      <c r="HF1462" s="1"/>
      <c r="HG1462" s="1"/>
      <c r="HH1462" s="1"/>
    </row>
    <row r="1463" spans="1:216" x14ac:dyDescent="0.3">
      <c r="A1463" s="3"/>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c r="GL1463" s="1"/>
      <c r="GM1463" s="1"/>
      <c r="GN1463" s="1"/>
      <c r="GO1463" s="1"/>
      <c r="GP1463" s="1"/>
      <c r="GQ1463" s="1"/>
      <c r="GR1463" s="1"/>
      <c r="GS1463" s="1"/>
      <c r="GT1463" s="1"/>
      <c r="GU1463" s="1"/>
      <c r="GV1463" s="1"/>
      <c r="GW1463" s="1"/>
      <c r="GX1463" s="1"/>
      <c r="GY1463" s="1"/>
      <c r="GZ1463" s="1"/>
      <c r="HA1463" s="1"/>
      <c r="HB1463" s="1"/>
      <c r="HC1463" s="1"/>
      <c r="HD1463" s="1"/>
      <c r="HE1463" s="1"/>
      <c r="HF1463" s="1"/>
      <c r="HG1463" s="1"/>
      <c r="HH1463" s="1"/>
    </row>
    <row r="1464" spans="1:216" x14ac:dyDescent="0.3">
      <c r="A1464" s="3"/>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c r="GL1464" s="1"/>
      <c r="GM1464" s="1"/>
      <c r="GN1464" s="1"/>
      <c r="GO1464" s="1"/>
      <c r="GP1464" s="1"/>
      <c r="GQ1464" s="1"/>
      <c r="GR1464" s="1"/>
      <c r="GS1464" s="1"/>
      <c r="GT1464" s="1"/>
      <c r="GU1464" s="1"/>
      <c r="GV1464" s="1"/>
      <c r="GW1464" s="1"/>
      <c r="GX1464" s="1"/>
      <c r="GY1464" s="1"/>
      <c r="GZ1464" s="1"/>
      <c r="HA1464" s="1"/>
      <c r="HB1464" s="1"/>
      <c r="HC1464" s="1"/>
      <c r="HD1464" s="1"/>
      <c r="HE1464" s="1"/>
      <c r="HF1464" s="1"/>
      <c r="HG1464" s="1"/>
      <c r="HH1464" s="1"/>
    </row>
    <row r="1465" spans="1:216" x14ac:dyDescent="0.3">
      <c r="A1465" s="3"/>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GS1465" s="1"/>
      <c r="GT1465" s="1"/>
      <c r="GU1465" s="1"/>
      <c r="GV1465" s="1"/>
      <c r="GW1465" s="1"/>
      <c r="GX1465" s="1"/>
      <c r="GY1465" s="1"/>
      <c r="GZ1465" s="1"/>
      <c r="HA1465" s="1"/>
      <c r="HB1465" s="1"/>
      <c r="HC1465" s="1"/>
      <c r="HD1465" s="1"/>
      <c r="HE1465" s="1"/>
      <c r="HF1465" s="1"/>
      <c r="HG1465" s="1"/>
      <c r="HH1465" s="1"/>
    </row>
    <row r="1466" spans="1:216" x14ac:dyDescent="0.3">
      <c r="A1466" s="3"/>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c r="GL1466" s="1"/>
      <c r="GM1466" s="1"/>
      <c r="GN1466" s="1"/>
      <c r="GO1466" s="1"/>
      <c r="GP1466" s="1"/>
      <c r="GQ1466" s="1"/>
      <c r="GR1466" s="1"/>
      <c r="GS1466" s="1"/>
      <c r="GT1466" s="1"/>
      <c r="GU1466" s="1"/>
      <c r="GV1466" s="1"/>
      <c r="GW1466" s="1"/>
      <c r="GX1466" s="1"/>
      <c r="GY1466" s="1"/>
      <c r="GZ1466" s="1"/>
      <c r="HA1466" s="1"/>
      <c r="HB1466" s="1"/>
      <c r="HC1466" s="1"/>
      <c r="HD1466" s="1"/>
      <c r="HE1466" s="1"/>
      <c r="HF1466" s="1"/>
      <c r="HG1466" s="1"/>
      <c r="HH1466" s="1"/>
    </row>
    <row r="1467" spans="1:216" x14ac:dyDescent="0.3">
      <c r="A1467" s="3"/>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c r="FN1467" s="1"/>
      <c r="FO1467" s="1"/>
      <c r="FP1467" s="1"/>
      <c r="FQ1467" s="1"/>
      <c r="FR1467" s="1"/>
      <c r="FS1467" s="1"/>
      <c r="FT1467" s="1"/>
      <c r="FU1467" s="1"/>
      <c r="FV1467" s="1"/>
      <c r="FW1467" s="1"/>
      <c r="FX1467" s="1"/>
      <c r="FY1467" s="1"/>
      <c r="FZ1467" s="1"/>
      <c r="GA1467" s="1"/>
      <c r="GB1467" s="1"/>
      <c r="GC1467" s="1"/>
      <c r="GD1467" s="1"/>
      <c r="GE1467" s="1"/>
      <c r="GF1467" s="1"/>
      <c r="GG1467" s="1"/>
      <c r="GH1467" s="1"/>
      <c r="GI1467" s="1"/>
      <c r="GJ1467" s="1"/>
      <c r="GK1467" s="1"/>
      <c r="GL1467" s="1"/>
      <c r="GM1467" s="1"/>
      <c r="GN1467" s="1"/>
      <c r="GO1467" s="1"/>
      <c r="GP1467" s="1"/>
      <c r="GQ1467" s="1"/>
      <c r="GR1467" s="1"/>
      <c r="GS1467" s="1"/>
      <c r="GT1467" s="1"/>
      <c r="GU1467" s="1"/>
      <c r="GV1467" s="1"/>
      <c r="GW1467" s="1"/>
      <c r="GX1467" s="1"/>
      <c r="GY1467" s="1"/>
      <c r="GZ1467" s="1"/>
      <c r="HA1467" s="1"/>
      <c r="HB1467" s="1"/>
      <c r="HC1467" s="1"/>
      <c r="HD1467" s="1"/>
      <c r="HE1467" s="1"/>
      <c r="HF1467" s="1"/>
      <c r="HG1467" s="1"/>
      <c r="HH1467" s="1"/>
    </row>
    <row r="1468" spans="1:216" x14ac:dyDescent="0.3">
      <c r="A1468" s="3"/>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c r="GL1468" s="1"/>
      <c r="GM1468" s="1"/>
      <c r="GN1468" s="1"/>
      <c r="GO1468" s="1"/>
      <c r="GP1468" s="1"/>
      <c r="GQ1468" s="1"/>
      <c r="GR1468" s="1"/>
      <c r="GS1468" s="1"/>
      <c r="GT1468" s="1"/>
      <c r="GU1468" s="1"/>
      <c r="GV1468" s="1"/>
      <c r="GW1468" s="1"/>
      <c r="GX1468" s="1"/>
      <c r="GY1468" s="1"/>
      <c r="GZ1468" s="1"/>
      <c r="HA1468" s="1"/>
      <c r="HB1468" s="1"/>
      <c r="HC1468" s="1"/>
      <c r="HD1468" s="1"/>
      <c r="HE1468" s="1"/>
      <c r="HF1468" s="1"/>
      <c r="HG1468" s="1"/>
      <c r="HH1468" s="1"/>
    </row>
    <row r="1469" spans="1:216" x14ac:dyDescent="0.3">
      <c r="A1469" s="3"/>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GS1469" s="1"/>
      <c r="GT1469" s="1"/>
      <c r="GU1469" s="1"/>
      <c r="GV1469" s="1"/>
      <c r="GW1469" s="1"/>
      <c r="GX1469" s="1"/>
      <c r="GY1469" s="1"/>
      <c r="GZ1469" s="1"/>
      <c r="HA1469" s="1"/>
      <c r="HB1469" s="1"/>
      <c r="HC1469" s="1"/>
      <c r="HD1469" s="1"/>
      <c r="HE1469" s="1"/>
      <c r="HF1469" s="1"/>
      <c r="HG1469" s="1"/>
      <c r="HH1469" s="1"/>
    </row>
    <row r="1470" spans="1:216" x14ac:dyDescent="0.3">
      <c r="A1470" s="3"/>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c r="GL1470" s="1"/>
      <c r="GM1470" s="1"/>
      <c r="GN1470" s="1"/>
      <c r="GO1470" s="1"/>
      <c r="GP1470" s="1"/>
      <c r="GQ1470" s="1"/>
      <c r="GR1470" s="1"/>
      <c r="GS1470" s="1"/>
      <c r="GT1470" s="1"/>
      <c r="GU1470" s="1"/>
      <c r="GV1470" s="1"/>
      <c r="GW1470" s="1"/>
      <c r="GX1470" s="1"/>
      <c r="GY1470" s="1"/>
      <c r="GZ1470" s="1"/>
      <c r="HA1470" s="1"/>
      <c r="HB1470" s="1"/>
      <c r="HC1470" s="1"/>
      <c r="HD1470" s="1"/>
      <c r="HE1470" s="1"/>
      <c r="HF1470" s="1"/>
      <c r="HG1470" s="1"/>
      <c r="HH1470" s="1"/>
    </row>
    <row r="1471" spans="1:216" x14ac:dyDescent="0.3">
      <c r="A1471" s="3"/>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c r="FN1471" s="1"/>
      <c r="FO1471" s="1"/>
      <c r="FP1471" s="1"/>
      <c r="FQ1471" s="1"/>
      <c r="FR1471" s="1"/>
      <c r="FS1471" s="1"/>
      <c r="FT1471" s="1"/>
      <c r="FU1471" s="1"/>
      <c r="FV1471" s="1"/>
      <c r="FW1471" s="1"/>
      <c r="FX1471" s="1"/>
      <c r="FY1471" s="1"/>
      <c r="FZ1471" s="1"/>
      <c r="GA1471" s="1"/>
      <c r="GB1471" s="1"/>
      <c r="GC1471" s="1"/>
      <c r="GD1471" s="1"/>
      <c r="GE1471" s="1"/>
      <c r="GF1471" s="1"/>
      <c r="GG1471" s="1"/>
      <c r="GH1471" s="1"/>
      <c r="GI1471" s="1"/>
      <c r="GJ1471" s="1"/>
      <c r="GK1471" s="1"/>
      <c r="GL1471" s="1"/>
      <c r="GM1471" s="1"/>
      <c r="GN1471" s="1"/>
      <c r="GO1471" s="1"/>
      <c r="GP1471" s="1"/>
      <c r="GQ1471" s="1"/>
      <c r="GR1471" s="1"/>
      <c r="GS1471" s="1"/>
      <c r="GT1471" s="1"/>
      <c r="GU1471" s="1"/>
      <c r="GV1471" s="1"/>
      <c r="GW1471" s="1"/>
      <c r="GX1471" s="1"/>
      <c r="GY1471" s="1"/>
      <c r="GZ1471" s="1"/>
      <c r="HA1471" s="1"/>
      <c r="HB1471" s="1"/>
      <c r="HC1471" s="1"/>
      <c r="HD1471" s="1"/>
      <c r="HE1471" s="1"/>
      <c r="HF1471" s="1"/>
      <c r="HG1471" s="1"/>
      <c r="HH1471" s="1"/>
    </row>
    <row r="1472" spans="1:216" x14ac:dyDescent="0.3">
      <c r="A1472" s="3"/>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c r="GL1472" s="1"/>
      <c r="GM1472" s="1"/>
      <c r="GN1472" s="1"/>
      <c r="GO1472" s="1"/>
      <c r="GP1472" s="1"/>
      <c r="GQ1472" s="1"/>
      <c r="GR1472" s="1"/>
      <c r="GS1472" s="1"/>
      <c r="GT1472" s="1"/>
      <c r="GU1472" s="1"/>
      <c r="GV1472" s="1"/>
      <c r="GW1472" s="1"/>
      <c r="GX1472" s="1"/>
      <c r="GY1472" s="1"/>
      <c r="GZ1472" s="1"/>
      <c r="HA1472" s="1"/>
      <c r="HB1472" s="1"/>
      <c r="HC1472" s="1"/>
      <c r="HD1472" s="1"/>
      <c r="HE1472" s="1"/>
      <c r="HF1472" s="1"/>
      <c r="HG1472" s="1"/>
      <c r="HH1472" s="1"/>
    </row>
    <row r="1473" spans="1:216" x14ac:dyDescent="0.3">
      <c r="A1473" s="3"/>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c r="EF1473" s="1"/>
      <c r="EG1473" s="1"/>
      <c r="EH1473" s="1"/>
      <c r="EI1473" s="1"/>
      <c r="EJ1473" s="1"/>
      <c r="EK1473" s="1"/>
      <c r="EL1473" s="1"/>
      <c r="EM1473" s="1"/>
      <c r="EN1473" s="1"/>
      <c r="EO1473" s="1"/>
      <c r="EP1473" s="1"/>
      <c r="EQ1473" s="1"/>
      <c r="ER1473" s="1"/>
      <c r="ES1473" s="1"/>
      <c r="ET1473" s="1"/>
      <c r="EU1473" s="1"/>
      <c r="EV1473" s="1"/>
      <c r="EW1473" s="1"/>
      <c r="EX1473" s="1"/>
      <c r="EY1473" s="1"/>
      <c r="EZ1473" s="1"/>
      <c r="FA1473" s="1"/>
      <c r="FB1473" s="1"/>
      <c r="FC1473" s="1"/>
      <c r="FD1473" s="1"/>
      <c r="FE1473" s="1"/>
      <c r="FF1473" s="1"/>
      <c r="FG1473" s="1"/>
      <c r="FH1473" s="1"/>
      <c r="FI1473" s="1"/>
      <c r="FJ1473" s="1"/>
      <c r="FK1473" s="1"/>
      <c r="FL1473" s="1"/>
      <c r="FM1473" s="1"/>
      <c r="FN1473" s="1"/>
      <c r="FO1473" s="1"/>
      <c r="FP1473" s="1"/>
      <c r="FQ1473" s="1"/>
      <c r="FR1473" s="1"/>
      <c r="FS1473" s="1"/>
      <c r="FT1473" s="1"/>
      <c r="FU1473" s="1"/>
      <c r="FV1473" s="1"/>
      <c r="FW1473" s="1"/>
      <c r="FX1473" s="1"/>
      <c r="FY1473" s="1"/>
      <c r="FZ1473" s="1"/>
      <c r="GA1473" s="1"/>
      <c r="GB1473" s="1"/>
      <c r="GC1473" s="1"/>
      <c r="GD1473" s="1"/>
      <c r="GE1473" s="1"/>
      <c r="GF1473" s="1"/>
      <c r="GG1473" s="1"/>
      <c r="GH1473" s="1"/>
      <c r="GI1473" s="1"/>
      <c r="GJ1473" s="1"/>
      <c r="GK1473" s="1"/>
      <c r="GL1473" s="1"/>
      <c r="GM1473" s="1"/>
      <c r="GN1473" s="1"/>
      <c r="GO1473" s="1"/>
      <c r="GP1473" s="1"/>
      <c r="GQ1473" s="1"/>
      <c r="GR1473" s="1"/>
      <c r="GS1473" s="1"/>
      <c r="GT1473" s="1"/>
      <c r="GU1473" s="1"/>
      <c r="GV1473" s="1"/>
      <c r="GW1473" s="1"/>
      <c r="GX1473" s="1"/>
      <c r="GY1473" s="1"/>
      <c r="GZ1473" s="1"/>
      <c r="HA1473" s="1"/>
      <c r="HB1473" s="1"/>
      <c r="HC1473" s="1"/>
      <c r="HD1473" s="1"/>
      <c r="HE1473" s="1"/>
      <c r="HF1473" s="1"/>
      <c r="HG1473" s="1"/>
      <c r="HH1473" s="1"/>
    </row>
    <row r="1474" spans="1:216" x14ac:dyDescent="0.3">
      <c r="A1474" s="3"/>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GS1474" s="1"/>
      <c r="GT1474" s="1"/>
      <c r="GU1474" s="1"/>
      <c r="GV1474" s="1"/>
      <c r="GW1474" s="1"/>
      <c r="GX1474" s="1"/>
      <c r="GY1474" s="1"/>
      <c r="GZ1474" s="1"/>
      <c r="HA1474" s="1"/>
      <c r="HB1474" s="1"/>
      <c r="HC1474" s="1"/>
      <c r="HD1474" s="1"/>
      <c r="HE1474" s="1"/>
      <c r="HF1474" s="1"/>
      <c r="HG1474" s="1"/>
      <c r="HH1474" s="1"/>
    </row>
    <row r="1475" spans="1:216" x14ac:dyDescent="0.3">
      <c r="A1475" s="3"/>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c r="FN1475" s="1"/>
      <c r="FO1475" s="1"/>
      <c r="FP1475" s="1"/>
      <c r="FQ1475" s="1"/>
      <c r="FR1475" s="1"/>
      <c r="FS1475" s="1"/>
      <c r="FT1475" s="1"/>
      <c r="FU1475" s="1"/>
      <c r="FV1475" s="1"/>
      <c r="FW1475" s="1"/>
      <c r="FX1475" s="1"/>
      <c r="FY1475" s="1"/>
      <c r="FZ1475" s="1"/>
      <c r="GA1475" s="1"/>
      <c r="GB1475" s="1"/>
      <c r="GC1475" s="1"/>
      <c r="GD1475" s="1"/>
      <c r="GE1475" s="1"/>
      <c r="GF1475" s="1"/>
      <c r="GG1475" s="1"/>
      <c r="GH1475" s="1"/>
      <c r="GI1475" s="1"/>
      <c r="GJ1475" s="1"/>
      <c r="GK1475" s="1"/>
      <c r="GL1475" s="1"/>
      <c r="GM1475" s="1"/>
      <c r="GN1475" s="1"/>
      <c r="GO1475" s="1"/>
      <c r="GP1475" s="1"/>
      <c r="GQ1475" s="1"/>
      <c r="GR1475" s="1"/>
      <c r="GS1475" s="1"/>
      <c r="GT1475" s="1"/>
      <c r="GU1475" s="1"/>
      <c r="GV1475" s="1"/>
      <c r="GW1475" s="1"/>
      <c r="GX1475" s="1"/>
      <c r="GY1475" s="1"/>
      <c r="GZ1475" s="1"/>
      <c r="HA1475" s="1"/>
      <c r="HB1475" s="1"/>
      <c r="HC1475" s="1"/>
      <c r="HD1475" s="1"/>
      <c r="HE1475" s="1"/>
      <c r="HF1475" s="1"/>
      <c r="HG1475" s="1"/>
      <c r="HH1475" s="1"/>
    </row>
    <row r="1476" spans="1:216" x14ac:dyDescent="0.3">
      <c r="A1476" s="3"/>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c r="FN1476" s="1"/>
      <c r="FO1476" s="1"/>
      <c r="FP1476" s="1"/>
      <c r="FQ1476" s="1"/>
      <c r="FR1476" s="1"/>
      <c r="FS1476" s="1"/>
      <c r="FT1476" s="1"/>
      <c r="FU1476" s="1"/>
      <c r="FV1476" s="1"/>
      <c r="FW1476" s="1"/>
      <c r="FX1476" s="1"/>
      <c r="FY1476" s="1"/>
      <c r="FZ1476" s="1"/>
      <c r="GA1476" s="1"/>
      <c r="GB1476" s="1"/>
      <c r="GC1476" s="1"/>
      <c r="GD1476" s="1"/>
      <c r="GE1476" s="1"/>
      <c r="GF1476" s="1"/>
      <c r="GG1476" s="1"/>
      <c r="GH1476" s="1"/>
      <c r="GI1476" s="1"/>
      <c r="GJ1476" s="1"/>
      <c r="GK1476" s="1"/>
      <c r="GL1476" s="1"/>
      <c r="GM1476" s="1"/>
      <c r="GN1476" s="1"/>
      <c r="GO1476" s="1"/>
      <c r="GP1476" s="1"/>
      <c r="GQ1476" s="1"/>
      <c r="GR1476" s="1"/>
      <c r="GS1476" s="1"/>
      <c r="GT1476" s="1"/>
      <c r="GU1476" s="1"/>
      <c r="GV1476" s="1"/>
      <c r="GW1476" s="1"/>
      <c r="GX1476" s="1"/>
      <c r="GY1476" s="1"/>
      <c r="GZ1476" s="1"/>
      <c r="HA1476" s="1"/>
      <c r="HB1476" s="1"/>
      <c r="HC1476" s="1"/>
      <c r="HD1476" s="1"/>
      <c r="HE1476" s="1"/>
      <c r="HF1476" s="1"/>
      <c r="HG1476" s="1"/>
      <c r="HH1476" s="1"/>
    </row>
    <row r="1477" spans="1:216" x14ac:dyDescent="0.3">
      <c r="A1477" s="3"/>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c r="GL1477" s="1"/>
      <c r="GM1477" s="1"/>
      <c r="GN1477" s="1"/>
      <c r="GO1477" s="1"/>
      <c r="GP1477" s="1"/>
      <c r="GQ1477" s="1"/>
      <c r="GR1477" s="1"/>
      <c r="GS1477" s="1"/>
      <c r="GT1477" s="1"/>
      <c r="GU1477" s="1"/>
      <c r="GV1477" s="1"/>
      <c r="GW1477" s="1"/>
      <c r="GX1477" s="1"/>
      <c r="GY1477" s="1"/>
      <c r="GZ1477" s="1"/>
      <c r="HA1477" s="1"/>
      <c r="HB1477" s="1"/>
      <c r="HC1477" s="1"/>
      <c r="HD1477" s="1"/>
      <c r="HE1477" s="1"/>
      <c r="HF1477" s="1"/>
      <c r="HG1477" s="1"/>
      <c r="HH1477" s="1"/>
    </row>
    <row r="1478" spans="1:216" x14ac:dyDescent="0.3">
      <c r="A1478" s="3"/>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GS1478" s="1"/>
      <c r="GT1478" s="1"/>
      <c r="GU1478" s="1"/>
      <c r="GV1478" s="1"/>
      <c r="GW1478" s="1"/>
      <c r="GX1478" s="1"/>
      <c r="GY1478" s="1"/>
      <c r="GZ1478" s="1"/>
      <c r="HA1478" s="1"/>
      <c r="HB1478" s="1"/>
      <c r="HC1478" s="1"/>
      <c r="HD1478" s="1"/>
      <c r="HE1478" s="1"/>
      <c r="HF1478" s="1"/>
      <c r="HG1478" s="1"/>
      <c r="HH1478" s="1"/>
    </row>
    <row r="1479" spans="1:216" x14ac:dyDescent="0.3">
      <c r="A1479" s="3"/>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c r="GL1479" s="1"/>
      <c r="GM1479" s="1"/>
      <c r="GN1479" s="1"/>
      <c r="GO1479" s="1"/>
      <c r="GP1479" s="1"/>
      <c r="GQ1479" s="1"/>
      <c r="GR1479" s="1"/>
      <c r="GS1479" s="1"/>
      <c r="GT1479" s="1"/>
      <c r="GU1479" s="1"/>
      <c r="GV1479" s="1"/>
      <c r="GW1479" s="1"/>
      <c r="GX1479" s="1"/>
      <c r="GY1479" s="1"/>
      <c r="GZ1479" s="1"/>
      <c r="HA1479" s="1"/>
      <c r="HB1479" s="1"/>
      <c r="HC1479" s="1"/>
      <c r="HD1479" s="1"/>
      <c r="HE1479" s="1"/>
      <c r="HF1479" s="1"/>
      <c r="HG1479" s="1"/>
      <c r="HH1479" s="1"/>
    </row>
    <row r="1480" spans="1:216" x14ac:dyDescent="0.3">
      <c r="A1480" s="3"/>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c r="FN1480" s="1"/>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c r="GL1480" s="1"/>
      <c r="GM1480" s="1"/>
      <c r="GN1480" s="1"/>
      <c r="GO1480" s="1"/>
      <c r="GP1480" s="1"/>
      <c r="GQ1480" s="1"/>
      <c r="GR1480" s="1"/>
      <c r="GS1480" s="1"/>
      <c r="GT1480" s="1"/>
      <c r="GU1480" s="1"/>
      <c r="GV1480" s="1"/>
      <c r="GW1480" s="1"/>
      <c r="GX1480" s="1"/>
      <c r="GY1480" s="1"/>
      <c r="GZ1480" s="1"/>
      <c r="HA1480" s="1"/>
      <c r="HB1480" s="1"/>
      <c r="HC1480" s="1"/>
      <c r="HD1480" s="1"/>
      <c r="HE1480" s="1"/>
      <c r="HF1480" s="1"/>
      <c r="HG1480" s="1"/>
      <c r="HH1480" s="1"/>
    </row>
    <row r="1481" spans="1:216" x14ac:dyDescent="0.3">
      <c r="A1481" s="3"/>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GS1481" s="1"/>
      <c r="GT1481" s="1"/>
      <c r="GU1481" s="1"/>
      <c r="GV1481" s="1"/>
      <c r="GW1481" s="1"/>
      <c r="GX1481" s="1"/>
      <c r="GY1481" s="1"/>
      <c r="GZ1481" s="1"/>
      <c r="HA1481" s="1"/>
      <c r="HB1481" s="1"/>
      <c r="HC1481" s="1"/>
      <c r="HD1481" s="1"/>
      <c r="HE1481" s="1"/>
      <c r="HF1481" s="1"/>
      <c r="HG1481" s="1"/>
      <c r="HH1481" s="1"/>
    </row>
    <row r="1482" spans="1:216" x14ac:dyDescent="0.3">
      <c r="A1482" s="3"/>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c r="GM1482" s="1"/>
      <c r="GN1482" s="1"/>
      <c r="GO1482" s="1"/>
      <c r="GP1482" s="1"/>
      <c r="GQ1482" s="1"/>
      <c r="GR1482" s="1"/>
      <c r="GS1482" s="1"/>
      <c r="GT1482" s="1"/>
      <c r="GU1482" s="1"/>
      <c r="GV1482" s="1"/>
      <c r="GW1482" s="1"/>
      <c r="GX1482" s="1"/>
      <c r="GY1482" s="1"/>
      <c r="GZ1482" s="1"/>
      <c r="HA1482" s="1"/>
      <c r="HB1482" s="1"/>
      <c r="HC1482" s="1"/>
      <c r="HD1482" s="1"/>
      <c r="HE1482" s="1"/>
      <c r="HF1482" s="1"/>
      <c r="HG1482" s="1"/>
      <c r="HH1482" s="1"/>
    </row>
    <row r="1483" spans="1:216" x14ac:dyDescent="0.3">
      <c r="A1483" s="3"/>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GS1483" s="1"/>
      <c r="GT1483" s="1"/>
      <c r="GU1483" s="1"/>
      <c r="GV1483" s="1"/>
      <c r="GW1483" s="1"/>
      <c r="GX1483" s="1"/>
      <c r="GY1483" s="1"/>
      <c r="GZ1483" s="1"/>
      <c r="HA1483" s="1"/>
      <c r="HB1483" s="1"/>
      <c r="HC1483" s="1"/>
      <c r="HD1483" s="1"/>
      <c r="HE1483" s="1"/>
      <c r="HF1483" s="1"/>
      <c r="HG1483" s="1"/>
      <c r="HH1483" s="1"/>
    </row>
    <row r="1484" spans="1:216" x14ac:dyDescent="0.3">
      <c r="A1484" s="3"/>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c r="GY1484" s="1"/>
      <c r="GZ1484" s="1"/>
      <c r="HA1484" s="1"/>
      <c r="HB1484" s="1"/>
      <c r="HC1484" s="1"/>
      <c r="HD1484" s="1"/>
      <c r="HE1484" s="1"/>
      <c r="HF1484" s="1"/>
      <c r="HG1484" s="1"/>
      <c r="HH1484" s="1"/>
    </row>
    <row r="1485" spans="1:216" x14ac:dyDescent="0.3">
      <c r="A1485" s="3"/>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c r="FN1485" s="1"/>
      <c r="FO1485" s="1"/>
      <c r="FP1485" s="1"/>
      <c r="FQ1485" s="1"/>
      <c r="FR1485" s="1"/>
      <c r="FS1485" s="1"/>
      <c r="FT1485" s="1"/>
      <c r="FU1485" s="1"/>
      <c r="FV1485" s="1"/>
      <c r="FW1485" s="1"/>
      <c r="FX1485" s="1"/>
      <c r="FY1485" s="1"/>
      <c r="FZ1485" s="1"/>
      <c r="GA1485" s="1"/>
      <c r="GB1485" s="1"/>
      <c r="GC1485" s="1"/>
      <c r="GD1485" s="1"/>
      <c r="GE1485" s="1"/>
      <c r="GF1485" s="1"/>
      <c r="GG1485" s="1"/>
      <c r="GH1485" s="1"/>
      <c r="GI1485" s="1"/>
      <c r="GJ1485" s="1"/>
      <c r="GK1485" s="1"/>
      <c r="GL1485" s="1"/>
      <c r="GM1485" s="1"/>
      <c r="GN1485" s="1"/>
      <c r="GO1485" s="1"/>
      <c r="GP1485" s="1"/>
      <c r="GQ1485" s="1"/>
      <c r="GR1485" s="1"/>
      <c r="GS1485" s="1"/>
      <c r="GT1485" s="1"/>
      <c r="GU1485" s="1"/>
      <c r="GV1485" s="1"/>
      <c r="GW1485" s="1"/>
      <c r="GX1485" s="1"/>
      <c r="GY1485" s="1"/>
      <c r="GZ1485" s="1"/>
      <c r="HA1485" s="1"/>
      <c r="HB1485" s="1"/>
      <c r="HC1485" s="1"/>
      <c r="HD1485" s="1"/>
      <c r="HE1485" s="1"/>
      <c r="HF1485" s="1"/>
      <c r="HG1485" s="1"/>
      <c r="HH1485" s="1"/>
    </row>
    <row r="1486" spans="1:216" x14ac:dyDescent="0.3">
      <c r="A1486" s="3"/>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c r="GL1486" s="1"/>
      <c r="GM1486" s="1"/>
      <c r="GN1486" s="1"/>
      <c r="GO1486" s="1"/>
      <c r="GP1486" s="1"/>
      <c r="GQ1486" s="1"/>
      <c r="GR1486" s="1"/>
      <c r="GS1486" s="1"/>
      <c r="GT1486" s="1"/>
      <c r="GU1486" s="1"/>
      <c r="GV1486" s="1"/>
      <c r="GW1486" s="1"/>
      <c r="GX1486" s="1"/>
      <c r="GY1486" s="1"/>
      <c r="GZ1486" s="1"/>
      <c r="HA1486" s="1"/>
      <c r="HB1486" s="1"/>
      <c r="HC1486" s="1"/>
      <c r="HD1486" s="1"/>
      <c r="HE1486" s="1"/>
      <c r="HF1486" s="1"/>
      <c r="HG1486" s="1"/>
      <c r="HH1486" s="1"/>
    </row>
    <row r="1487" spans="1:216" x14ac:dyDescent="0.3">
      <c r="A1487" s="3"/>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c r="GL1487" s="1"/>
      <c r="GM1487" s="1"/>
      <c r="GN1487" s="1"/>
      <c r="GO1487" s="1"/>
      <c r="GP1487" s="1"/>
      <c r="GQ1487" s="1"/>
      <c r="GR1487" s="1"/>
      <c r="GS1487" s="1"/>
      <c r="GT1487" s="1"/>
      <c r="GU1487" s="1"/>
      <c r="GV1487" s="1"/>
      <c r="GW1487" s="1"/>
      <c r="GX1487" s="1"/>
      <c r="GY1487" s="1"/>
      <c r="GZ1487" s="1"/>
      <c r="HA1487" s="1"/>
      <c r="HB1487" s="1"/>
      <c r="HC1487" s="1"/>
      <c r="HD1487" s="1"/>
      <c r="HE1487" s="1"/>
      <c r="HF1487" s="1"/>
      <c r="HG1487" s="1"/>
      <c r="HH1487" s="1"/>
    </row>
    <row r="1488" spans="1:216" x14ac:dyDescent="0.3">
      <c r="A1488" s="3"/>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c r="FN1488" s="1"/>
      <c r="FO1488" s="1"/>
      <c r="FP1488" s="1"/>
      <c r="FQ1488" s="1"/>
      <c r="FR1488" s="1"/>
      <c r="FS1488" s="1"/>
      <c r="FT1488" s="1"/>
      <c r="FU1488" s="1"/>
      <c r="FV1488" s="1"/>
      <c r="FW1488" s="1"/>
      <c r="FX1488" s="1"/>
      <c r="FY1488" s="1"/>
      <c r="FZ1488" s="1"/>
      <c r="GA1488" s="1"/>
      <c r="GB1488" s="1"/>
      <c r="GC1488" s="1"/>
      <c r="GD1488" s="1"/>
      <c r="GE1488" s="1"/>
      <c r="GF1488" s="1"/>
      <c r="GG1488" s="1"/>
      <c r="GH1488" s="1"/>
      <c r="GI1488" s="1"/>
      <c r="GJ1488" s="1"/>
      <c r="GK1488" s="1"/>
      <c r="GL1488" s="1"/>
      <c r="GM1488" s="1"/>
      <c r="GN1488" s="1"/>
      <c r="GO1488" s="1"/>
      <c r="GP1488" s="1"/>
      <c r="GQ1488" s="1"/>
      <c r="GR1488" s="1"/>
      <c r="GS1488" s="1"/>
      <c r="GT1488" s="1"/>
      <c r="GU1488" s="1"/>
      <c r="GV1488" s="1"/>
      <c r="GW1488" s="1"/>
      <c r="GX1488" s="1"/>
      <c r="GY1488" s="1"/>
      <c r="GZ1488" s="1"/>
      <c r="HA1488" s="1"/>
      <c r="HB1488" s="1"/>
      <c r="HC1488" s="1"/>
      <c r="HD1488" s="1"/>
      <c r="HE1488" s="1"/>
      <c r="HF1488" s="1"/>
      <c r="HG1488" s="1"/>
      <c r="HH1488" s="1"/>
    </row>
    <row r="1489" spans="1:216" x14ac:dyDescent="0.3">
      <c r="A1489" s="3"/>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c r="FS1489" s="1"/>
      <c r="FT1489" s="1"/>
      <c r="FU1489" s="1"/>
      <c r="FV1489" s="1"/>
      <c r="FW1489" s="1"/>
      <c r="FX1489" s="1"/>
      <c r="FY1489" s="1"/>
      <c r="FZ1489" s="1"/>
      <c r="GA1489" s="1"/>
      <c r="GB1489" s="1"/>
      <c r="GC1489" s="1"/>
      <c r="GD1489" s="1"/>
      <c r="GE1489" s="1"/>
      <c r="GF1489" s="1"/>
      <c r="GG1489" s="1"/>
      <c r="GH1489" s="1"/>
      <c r="GI1489" s="1"/>
      <c r="GJ1489" s="1"/>
      <c r="GK1489" s="1"/>
      <c r="GL1489" s="1"/>
      <c r="GM1489" s="1"/>
      <c r="GN1489" s="1"/>
      <c r="GO1489" s="1"/>
      <c r="GP1489" s="1"/>
      <c r="GQ1489" s="1"/>
      <c r="GR1489" s="1"/>
      <c r="GS1489" s="1"/>
      <c r="GT1489" s="1"/>
      <c r="GU1489" s="1"/>
      <c r="GV1489" s="1"/>
      <c r="GW1489" s="1"/>
      <c r="GX1489" s="1"/>
      <c r="GY1489" s="1"/>
      <c r="GZ1489" s="1"/>
      <c r="HA1489" s="1"/>
      <c r="HB1489" s="1"/>
      <c r="HC1489" s="1"/>
      <c r="HD1489" s="1"/>
      <c r="HE1489" s="1"/>
      <c r="HF1489" s="1"/>
      <c r="HG1489" s="1"/>
      <c r="HH1489" s="1"/>
    </row>
    <row r="1490" spans="1:216" x14ac:dyDescent="0.3">
      <c r="A1490" s="3"/>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GS1490" s="1"/>
      <c r="GT1490" s="1"/>
      <c r="GU1490" s="1"/>
      <c r="GV1490" s="1"/>
      <c r="GW1490" s="1"/>
      <c r="GX1490" s="1"/>
      <c r="GY1490" s="1"/>
      <c r="GZ1490" s="1"/>
      <c r="HA1490" s="1"/>
      <c r="HB1490" s="1"/>
      <c r="HC1490" s="1"/>
      <c r="HD1490" s="1"/>
      <c r="HE1490" s="1"/>
      <c r="HF1490" s="1"/>
      <c r="HG1490" s="1"/>
      <c r="HH1490" s="1"/>
    </row>
    <row r="1491" spans="1:216" x14ac:dyDescent="0.3">
      <c r="A1491" s="3"/>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c r="GY1491" s="1"/>
      <c r="GZ1491" s="1"/>
      <c r="HA1491" s="1"/>
      <c r="HB1491" s="1"/>
      <c r="HC1491" s="1"/>
      <c r="HD1491" s="1"/>
      <c r="HE1491" s="1"/>
      <c r="HF1491" s="1"/>
      <c r="HG1491" s="1"/>
      <c r="HH1491" s="1"/>
    </row>
    <row r="1492" spans="1:216" x14ac:dyDescent="0.3">
      <c r="A1492" s="3"/>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GS1492" s="1"/>
      <c r="GT1492" s="1"/>
      <c r="GU1492" s="1"/>
      <c r="GV1492" s="1"/>
      <c r="GW1492" s="1"/>
      <c r="GX1492" s="1"/>
      <c r="GY1492" s="1"/>
      <c r="GZ1492" s="1"/>
      <c r="HA1492" s="1"/>
      <c r="HB1492" s="1"/>
      <c r="HC1492" s="1"/>
      <c r="HD1492" s="1"/>
      <c r="HE1492" s="1"/>
      <c r="HF1492" s="1"/>
      <c r="HG1492" s="1"/>
      <c r="HH1492" s="1"/>
    </row>
    <row r="1493" spans="1:216" x14ac:dyDescent="0.3">
      <c r="A1493" s="3"/>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c r="GL1493" s="1"/>
      <c r="GM1493" s="1"/>
      <c r="GN1493" s="1"/>
      <c r="GO1493" s="1"/>
      <c r="GP1493" s="1"/>
      <c r="GQ1493" s="1"/>
      <c r="GR1493" s="1"/>
      <c r="GS1493" s="1"/>
      <c r="GT1493" s="1"/>
      <c r="GU1493" s="1"/>
      <c r="GV1493" s="1"/>
      <c r="GW1493" s="1"/>
      <c r="GX1493" s="1"/>
      <c r="GY1493" s="1"/>
      <c r="GZ1493" s="1"/>
      <c r="HA1493" s="1"/>
      <c r="HB1493" s="1"/>
      <c r="HC1493" s="1"/>
      <c r="HD1493" s="1"/>
      <c r="HE1493" s="1"/>
      <c r="HF1493" s="1"/>
      <c r="HG1493" s="1"/>
      <c r="HH1493" s="1"/>
    </row>
    <row r="1494" spans="1:216" x14ac:dyDescent="0.3">
      <c r="A1494" s="3"/>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c r="GL1494" s="1"/>
      <c r="GM1494" s="1"/>
      <c r="GN1494" s="1"/>
      <c r="GO1494" s="1"/>
      <c r="GP1494" s="1"/>
      <c r="GQ1494" s="1"/>
      <c r="GR1494" s="1"/>
      <c r="GS1494" s="1"/>
      <c r="GT1494" s="1"/>
      <c r="GU1494" s="1"/>
      <c r="GV1494" s="1"/>
      <c r="GW1494" s="1"/>
      <c r="GX1494" s="1"/>
      <c r="GY1494" s="1"/>
      <c r="GZ1494" s="1"/>
      <c r="HA1494" s="1"/>
      <c r="HB1494" s="1"/>
      <c r="HC1494" s="1"/>
      <c r="HD1494" s="1"/>
      <c r="HE1494" s="1"/>
      <c r="HF1494" s="1"/>
      <c r="HG1494" s="1"/>
      <c r="HH1494" s="1"/>
    </row>
    <row r="1495" spans="1:216" x14ac:dyDescent="0.3">
      <c r="A1495" s="3"/>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c r="FN1495" s="1"/>
      <c r="FO1495" s="1"/>
      <c r="FP1495" s="1"/>
      <c r="FQ1495" s="1"/>
      <c r="FR1495" s="1"/>
      <c r="FS1495" s="1"/>
      <c r="FT1495" s="1"/>
      <c r="FU1495" s="1"/>
      <c r="FV1495" s="1"/>
      <c r="FW1495" s="1"/>
      <c r="FX1495" s="1"/>
      <c r="FY1495" s="1"/>
      <c r="FZ1495" s="1"/>
      <c r="GA1495" s="1"/>
      <c r="GB1495" s="1"/>
      <c r="GC1495" s="1"/>
      <c r="GD1495" s="1"/>
      <c r="GE1495" s="1"/>
      <c r="GF1495" s="1"/>
      <c r="GG1495" s="1"/>
      <c r="GH1495" s="1"/>
      <c r="GI1495" s="1"/>
      <c r="GJ1495" s="1"/>
      <c r="GK1495" s="1"/>
      <c r="GL1495" s="1"/>
      <c r="GM1495" s="1"/>
      <c r="GN1495" s="1"/>
      <c r="GO1495" s="1"/>
      <c r="GP1495" s="1"/>
      <c r="GQ1495" s="1"/>
      <c r="GR1495" s="1"/>
      <c r="GS1495" s="1"/>
      <c r="GT1495" s="1"/>
      <c r="GU1495" s="1"/>
      <c r="GV1495" s="1"/>
      <c r="GW1495" s="1"/>
      <c r="GX1495" s="1"/>
      <c r="GY1495" s="1"/>
      <c r="GZ1495" s="1"/>
      <c r="HA1495" s="1"/>
      <c r="HB1495" s="1"/>
      <c r="HC1495" s="1"/>
      <c r="HD1495" s="1"/>
      <c r="HE1495" s="1"/>
      <c r="HF1495" s="1"/>
      <c r="HG1495" s="1"/>
      <c r="HH1495" s="1"/>
    </row>
    <row r="1496" spans="1:216" x14ac:dyDescent="0.3">
      <c r="A1496" s="3"/>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c r="FN1496" s="1"/>
      <c r="FO1496" s="1"/>
      <c r="FP1496" s="1"/>
      <c r="FQ1496" s="1"/>
      <c r="FR1496" s="1"/>
      <c r="FS1496" s="1"/>
      <c r="FT1496" s="1"/>
      <c r="FU1496" s="1"/>
      <c r="FV1496" s="1"/>
      <c r="FW1496" s="1"/>
      <c r="FX1496" s="1"/>
      <c r="FY1496" s="1"/>
      <c r="FZ1496" s="1"/>
      <c r="GA1496" s="1"/>
      <c r="GB1496" s="1"/>
      <c r="GC1496" s="1"/>
      <c r="GD1496" s="1"/>
      <c r="GE1496" s="1"/>
      <c r="GF1496" s="1"/>
      <c r="GG1496" s="1"/>
      <c r="GH1496" s="1"/>
      <c r="GI1496" s="1"/>
      <c r="GJ1496" s="1"/>
      <c r="GK1496" s="1"/>
      <c r="GL1496" s="1"/>
      <c r="GM1496" s="1"/>
      <c r="GN1496" s="1"/>
      <c r="GO1496" s="1"/>
      <c r="GP1496" s="1"/>
      <c r="GQ1496" s="1"/>
      <c r="GR1496" s="1"/>
      <c r="GS1496" s="1"/>
      <c r="GT1496" s="1"/>
      <c r="GU1496" s="1"/>
      <c r="GV1496" s="1"/>
      <c r="GW1496" s="1"/>
      <c r="GX1496" s="1"/>
      <c r="GY1496" s="1"/>
      <c r="GZ1496" s="1"/>
      <c r="HA1496" s="1"/>
      <c r="HB1496" s="1"/>
      <c r="HC1496" s="1"/>
      <c r="HD1496" s="1"/>
      <c r="HE1496" s="1"/>
      <c r="HF1496" s="1"/>
      <c r="HG1496" s="1"/>
      <c r="HH1496" s="1"/>
    </row>
    <row r="1497" spans="1:216" x14ac:dyDescent="0.3">
      <c r="A1497" s="3"/>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c r="FN1497" s="1"/>
      <c r="FO1497" s="1"/>
      <c r="FP1497" s="1"/>
      <c r="FQ1497" s="1"/>
      <c r="FR1497" s="1"/>
      <c r="FS1497" s="1"/>
      <c r="FT1497" s="1"/>
      <c r="FU1497" s="1"/>
      <c r="FV1497" s="1"/>
      <c r="FW1497" s="1"/>
      <c r="FX1497" s="1"/>
      <c r="FY1497" s="1"/>
      <c r="FZ1497" s="1"/>
      <c r="GA1497" s="1"/>
      <c r="GB1497" s="1"/>
      <c r="GC1497" s="1"/>
      <c r="GD1497" s="1"/>
      <c r="GE1497" s="1"/>
      <c r="GF1497" s="1"/>
      <c r="GG1497" s="1"/>
      <c r="GH1497" s="1"/>
      <c r="GI1497" s="1"/>
      <c r="GJ1497" s="1"/>
      <c r="GK1497" s="1"/>
      <c r="GL1497" s="1"/>
      <c r="GM1497" s="1"/>
      <c r="GN1497" s="1"/>
      <c r="GO1497" s="1"/>
      <c r="GP1497" s="1"/>
      <c r="GQ1497" s="1"/>
      <c r="GR1497" s="1"/>
      <c r="GS1497" s="1"/>
      <c r="GT1497" s="1"/>
      <c r="GU1497" s="1"/>
      <c r="GV1497" s="1"/>
      <c r="GW1497" s="1"/>
      <c r="GX1497" s="1"/>
      <c r="GY1497" s="1"/>
      <c r="GZ1497" s="1"/>
      <c r="HA1497" s="1"/>
      <c r="HB1497" s="1"/>
      <c r="HC1497" s="1"/>
      <c r="HD1497" s="1"/>
      <c r="HE1497" s="1"/>
      <c r="HF1497" s="1"/>
      <c r="HG1497" s="1"/>
      <c r="HH1497" s="1"/>
    </row>
    <row r="1498" spans="1:216" x14ac:dyDescent="0.3">
      <c r="A1498" s="3"/>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c r="FK1498" s="1"/>
      <c r="FL1498" s="1"/>
      <c r="FM1498" s="1"/>
      <c r="FN1498" s="1"/>
      <c r="FO1498" s="1"/>
      <c r="FP1498" s="1"/>
      <c r="FQ1498" s="1"/>
      <c r="FR1498" s="1"/>
      <c r="FS1498" s="1"/>
      <c r="FT1498" s="1"/>
      <c r="FU1498" s="1"/>
      <c r="FV1498" s="1"/>
      <c r="FW1498" s="1"/>
      <c r="FX1498" s="1"/>
      <c r="FY1498" s="1"/>
      <c r="FZ1498" s="1"/>
      <c r="GA1498" s="1"/>
      <c r="GB1498" s="1"/>
      <c r="GC1498" s="1"/>
      <c r="GD1498" s="1"/>
      <c r="GE1498" s="1"/>
      <c r="GF1498" s="1"/>
      <c r="GG1498" s="1"/>
      <c r="GH1498" s="1"/>
      <c r="GI1498" s="1"/>
      <c r="GJ1498" s="1"/>
      <c r="GK1498" s="1"/>
      <c r="GL1498" s="1"/>
      <c r="GM1498" s="1"/>
      <c r="GN1498" s="1"/>
      <c r="GO1498" s="1"/>
      <c r="GP1498" s="1"/>
      <c r="GQ1498" s="1"/>
      <c r="GR1498" s="1"/>
      <c r="GS1498" s="1"/>
      <c r="GT1498" s="1"/>
      <c r="GU1498" s="1"/>
      <c r="GV1498" s="1"/>
      <c r="GW1498" s="1"/>
      <c r="GX1498" s="1"/>
      <c r="GY1498" s="1"/>
      <c r="GZ1498" s="1"/>
      <c r="HA1498" s="1"/>
      <c r="HB1498" s="1"/>
      <c r="HC1498" s="1"/>
      <c r="HD1498" s="1"/>
      <c r="HE1498" s="1"/>
      <c r="HF1498" s="1"/>
      <c r="HG1498" s="1"/>
      <c r="HH1498" s="1"/>
    </row>
    <row r="1499" spans="1:216" x14ac:dyDescent="0.3">
      <c r="A1499" s="3"/>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c r="GL1499" s="1"/>
      <c r="GM1499" s="1"/>
      <c r="GN1499" s="1"/>
      <c r="GO1499" s="1"/>
      <c r="GP1499" s="1"/>
      <c r="GQ1499" s="1"/>
      <c r="GR1499" s="1"/>
      <c r="GS1499" s="1"/>
      <c r="GT1499" s="1"/>
      <c r="GU1499" s="1"/>
      <c r="GV1499" s="1"/>
      <c r="GW1499" s="1"/>
      <c r="GX1499" s="1"/>
      <c r="GY1499" s="1"/>
      <c r="GZ1499" s="1"/>
      <c r="HA1499" s="1"/>
      <c r="HB1499" s="1"/>
      <c r="HC1499" s="1"/>
      <c r="HD1499" s="1"/>
      <c r="HE1499" s="1"/>
      <c r="HF1499" s="1"/>
      <c r="HG1499" s="1"/>
      <c r="HH1499" s="1"/>
    </row>
    <row r="1500" spans="1:216" x14ac:dyDescent="0.3">
      <c r="A1500" s="3"/>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c r="GL1500" s="1"/>
      <c r="GM1500" s="1"/>
      <c r="GN1500" s="1"/>
      <c r="GO1500" s="1"/>
      <c r="GP1500" s="1"/>
      <c r="GQ1500" s="1"/>
      <c r="GR1500" s="1"/>
      <c r="GS1500" s="1"/>
      <c r="GT1500" s="1"/>
      <c r="GU1500" s="1"/>
      <c r="GV1500" s="1"/>
      <c r="GW1500" s="1"/>
      <c r="GX1500" s="1"/>
      <c r="GY1500" s="1"/>
      <c r="GZ1500" s="1"/>
      <c r="HA1500" s="1"/>
      <c r="HB1500" s="1"/>
      <c r="HC1500" s="1"/>
      <c r="HD1500" s="1"/>
      <c r="HE1500" s="1"/>
      <c r="HF1500" s="1"/>
      <c r="HG1500" s="1"/>
      <c r="HH1500" s="1"/>
    </row>
    <row r="1501" spans="1:216" x14ac:dyDescent="0.3">
      <c r="A1501" s="3"/>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c r="GL1501" s="1"/>
      <c r="GM1501" s="1"/>
      <c r="GN1501" s="1"/>
      <c r="GO1501" s="1"/>
      <c r="GP1501" s="1"/>
      <c r="GQ1501" s="1"/>
      <c r="GR1501" s="1"/>
      <c r="GS1501" s="1"/>
      <c r="GT1501" s="1"/>
      <c r="GU1501" s="1"/>
      <c r="GV1501" s="1"/>
      <c r="GW1501" s="1"/>
      <c r="GX1501" s="1"/>
      <c r="GY1501" s="1"/>
      <c r="GZ1501" s="1"/>
      <c r="HA1501" s="1"/>
      <c r="HB1501" s="1"/>
      <c r="HC1501" s="1"/>
      <c r="HD1501" s="1"/>
      <c r="HE1501" s="1"/>
      <c r="HF1501" s="1"/>
      <c r="HG1501" s="1"/>
      <c r="HH1501" s="1"/>
    </row>
    <row r="1502" spans="1:216" x14ac:dyDescent="0.3">
      <c r="A1502" s="3"/>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GS1502" s="1"/>
      <c r="GT1502" s="1"/>
      <c r="GU1502" s="1"/>
      <c r="GV1502" s="1"/>
      <c r="GW1502" s="1"/>
      <c r="GX1502" s="1"/>
      <c r="GY1502" s="1"/>
      <c r="GZ1502" s="1"/>
      <c r="HA1502" s="1"/>
      <c r="HB1502" s="1"/>
      <c r="HC1502" s="1"/>
      <c r="HD1502" s="1"/>
      <c r="HE1502" s="1"/>
      <c r="HF1502" s="1"/>
      <c r="HG1502" s="1"/>
      <c r="HH1502" s="1"/>
    </row>
    <row r="1503" spans="1:216" x14ac:dyDescent="0.3">
      <c r="A1503" s="3"/>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GS1503" s="1"/>
      <c r="GT1503" s="1"/>
      <c r="GU1503" s="1"/>
      <c r="GV1503" s="1"/>
      <c r="GW1503" s="1"/>
      <c r="GX1503" s="1"/>
      <c r="GY1503" s="1"/>
      <c r="GZ1503" s="1"/>
      <c r="HA1503" s="1"/>
      <c r="HB1503" s="1"/>
      <c r="HC1503" s="1"/>
      <c r="HD1503" s="1"/>
      <c r="HE1503" s="1"/>
      <c r="HF1503" s="1"/>
      <c r="HG1503" s="1"/>
      <c r="HH1503" s="1"/>
    </row>
    <row r="1504" spans="1:216" x14ac:dyDescent="0.3">
      <c r="A1504" s="3"/>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c r="GY1504" s="1"/>
      <c r="GZ1504" s="1"/>
      <c r="HA1504" s="1"/>
      <c r="HB1504" s="1"/>
      <c r="HC1504" s="1"/>
      <c r="HD1504" s="1"/>
      <c r="HE1504" s="1"/>
      <c r="HF1504" s="1"/>
      <c r="HG1504" s="1"/>
      <c r="HH1504" s="1"/>
    </row>
    <row r="1505" spans="1:216" x14ac:dyDescent="0.3">
      <c r="A1505" s="3"/>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GS1505" s="1"/>
      <c r="GT1505" s="1"/>
      <c r="GU1505" s="1"/>
      <c r="GV1505" s="1"/>
      <c r="GW1505" s="1"/>
      <c r="GX1505" s="1"/>
      <c r="GY1505" s="1"/>
      <c r="GZ1505" s="1"/>
      <c r="HA1505" s="1"/>
      <c r="HB1505" s="1"/>
      <c r="HC1505" s="1"/>
      <c r="HD1505" s="1"/>
      <c r="HE1505" s="1"/>
      <c r="HF1505" s="1"/>
      <c r="HG1505" s="1"/>
      <c r="HH1505" s="1"/>
    </row>
    <row r="1506" spans="1:216" x14ac:dyDescent="0.3">
      <c r="A1506" s="3"/>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c r="FN1506" s="1"/>
      <c r="FO1506" s="1"/>
      <c r="FP1506" s="1"/>
      <c r="FQ1506" s="1"/>
      <c r="FR1506" s="1"/>
      <c r="FS1506" s="1"/>
      <c r="FT1506" s="1"/>
      <c r="FU1506" s="1"/>
      <c r="FV1506" s="1"/>
      <c r="FW1506" s="1"/>
      <c r="FX1506" s="1"/>
      <c r="FY1506" s="1"/>
      <c r="FZ1506" s="1"/>
      <c r="GA1506" s="1"/>
      <c r="GB1506" s="1"/>
      <c r="GC1506" s="1"/>
      <c r="GD1506" s="1"/>
      <c r="GE1506" s="1"/>
      <c r="GF1506" s="1"/>
      <c r="GG1506" s="1"/>
      <c r="GH1506" s="1"/>
      <c r="GI1506" s="1"/>
      <c r="GJ1506" s="1"/>
      <c r="GK1506" s="1"/>
      <c r="GL1506" s="1"/>
      <c r="GM1506" s="1"/>
      <c r="GN1506" s="1"/>
      <c r="GO1506" s="1"/>
      <c r="GP1506" s="1"/>
      <c r="GQ1506" s="1"/>
      <c r="GR1506" s="1"/>
      <c r="GS1506" s="1"/>
      <c r="GT1506" s="1"/>
      <c r="GU1506" s="1"/>
      <c r="GV1506" s="1"/>
      <c r="GW1506" s="1"/>
      <c r="GX1506" s="1"/>
      <c r="GY1506" s="1"/>
      <c r="GZ1506" s="1"/>
      <c r="HA1506" s="1"/>
      <c r="HB1506" s="1"/>
      <c r="HC1506" s="1"/>
      <c r="HD1506" s="1"/>
      <c r="HE1506" s="1"/>
      <c r="HF1506" s="1"/>
      <c r="HG1506" s="1"/>
      <c r="HH1506" s="1"/>
    </row>
    <row r="1507" spans="1:216" x14ac:dyDescent="0.3">
      <c r="A1507" s="3"/>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c r="GL1507" s="1"/>
      <c r="GM1507" s="1"/>
      <c r="GN1507" s="1"/>
      <c r="GO1507" s="1"/>
      <c r="GP1507" s="1"/>
      <c r="GQ1507" s="1"/>
      <c r="GR1507" s="1"/>
      <c r="GS1507" s="1"/>
      <c r="GT1507" s="1"/>
      <c r="GU1507" s="1"/>
      <c r="GV1507" s="1"/>
      <c r="GW1507" s="1"/>
      <c r="GX1507" s="1"/>
      <c r="GY1507" s="1"/>
      <c r="GZ1507" s="1"/>
      <c r="HA1507" s="1"/>
      <c r="HB1507" s="1"/>
      <c r="HC1507" s="1"/>
      <c r="HD1507" s="1"/>
      <c r="HE1507" s="1"/>
      <c r="HF1507" s="1"/>
      <c r="HG1507" s="1"/>
      <c r="HH1507" s="1"/>
    </row>
    <row r="1508" spans="1:216" x14ac:dyDescent="0.3">
      <c r="A1508" s="3"/>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c r="FN1508" s="1"/>
      <c r="FO1508" s="1"/>
      <c r="FP1508" s="1"/>
      <c r="FQ1508" s="1"/>
      <c r="FR1508" s="1"/>
      <c r="FS1508" s="1"/>
      <c r="FT1508" s="1"/>
      <c r="FU1508" s="1"/>
      <c r="FV1508" s="1"/>
      <c r="FW1508" s="1"/>
      <c r="FX1508" s="1"/>
      <c r="FY1508" s="1"/>
      <c r="FZ1508" s="1"/>
      <c r="GA1508" s="1"/>
      <c r="GB1508" s="1"/>
      <c r="GC1508" s="1"/>
      <c r="GD1508" s="1"/>
      <c r="GE1508" s="1"/>
      <c r="GF1508" s="1"/>
      <c r="GG1508" s="1"/>
      <c r="GH1508" s="1"/>
      <c r="GI1508" s="1"/>
      <c r="GJ1508" s="1"/>
      <c r="GK1508" s="1"/>
      <c r="GL1508" s="1"/>
      <c r="GM1508" s="1"/>
      <c r="GN1508" s="1"/>
      <c r="GO1508" s="1"/>
      <c r="GP1508" s="1"/>
      <c r="GQ1508" s="1"/>
      <c r="GR1508" s="1"/>
      <c r="GS1508" s="1"/>
      <c r="GT1508" s="1"/>
      <c r="GU1508" s="1"/>
      <c r="GV1508" s="1"/>
      <c r="GW1508" s="1"/>
      <c r="GX1508" s="1"/>
      <c r="GY1508" s="1"/>
      <c r="GZ1508" s="1"/>
      <c r="HA1508" s="1"/>
      <c r="HB1508" s="1"/>
      <c r="HC1508" s="1"/>
      <c r="HD1508" s="1"/>
      <c r="HE1508" s="1"/>
      <c r="HF1508" s="1"/>
      <c r="HG1508" s="1"/>
      <c r="HH1508" s="1"/>
    </row>
    <row r="1509" spans="1:216" x14ac:dyDescent="0.3">
      <c r="A1509" s="3"/>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GS1509" s="1"/>
      <c r="GT1509" s="1"/>
      <c r="GU1509" s="1"/>
      <c r="GV1509" s="1"/>
      <c r="GW1509" s="1"/>
      <c r="GX1509" s="1"/>
      <c r="GY1509" s="1"/>
      <c r="GZ1509" s="1"/>
      <c r="HA1509" s="1"/>
      <c r="HB1509" s="1"/>
      <c r="HC1509" s="1"/>
      <c r="HD1509" s="1"/>
      <c r="HE1509" s="1"/>
      <c r="HF1509" s="1"/>
      <c r="HG1509" s="1"/>
      <c r="HH1509" s="1"/>
    </row>
    <row r="1510" spans="1:216" x14ac:dyDescent="0.3">
      <c r="A1510" s="3"/>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c r="FN1510" s="1"/>
      <c r="FO1510" s="1"/>
      <c r="FP1510" s="1"/>
      <c r="FQ1510" s="1"/>
      <c r="FR1510" s="1"/>
      <c r="FS1510" s="1"/>
      <c r="FT1510" s="1"/>
      <c r="FU1510" s="1"/>
      <c r="FV1510" s="1"/>
      <c r="FW1510" s="1"/>
      <c r="FX1510" s="1"/>
      <c r="FY1510" s="1"/>
      <c r="FZ1510" s="1"/>
      <c r="GA1510" s="1"/>
      <c r="GB1510" s="1"/>
      <c r="GC1510" s="1"/>
      <c r="GD1510" s="1"/>
      <c r="GE1510" s="1"/>
      <c r="GF1510" s="1"/>
      <c r="GG1510" s="1"/>
      <c r="GH1510" s="1"/>
      <c r="GI1510" s="1"/>
      <c r="GJ1510" s="1"/>
      <c r="GK1510" s="1"/>
      <c r="GL1510" s="1"/>
      <c r="GM1510" s="1"/>
      <c r="GN1510" s="1"/>
      <c r="GO1510" s="1"/>
      <c r="GP1510" s="1"/>
      <c r="GQ1510" s="1"/>
      <c r="GR1510" s="1"/>
      <c r="GS1510" s="1"/>
      <c r="GT1510" s="1"/>
      <c r="GU1510" s="1"/>
      <c r="GV1510" s="1"/>
      <c r="GW1510" s="1"/>
      <c r="GX1510" s="1"/>
      <c r="GY1510" s="1"/>
      <c r="GZ1510" s="1"/>
      <c r="HA1510" s="1"/>
      <c r="HB1510" s="1"/>
      <c r="HC1510" s="1"/>
      <c r="HD1510" s="1"/>
      <c r="HE1510" s="1"/>
      <c r="HF1510" s="1"/>
      <c r="HG1510" s="1"/>
      <c r="HH1510" s="1"/>
    </row>
    <row r="1511" spans="1:216" x14ac:dyDescent="0.3">
      <c r="A1511" s="3"/>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GS1511" s="1"/>
      <c r="GT1511" s="1"/>
      <c r="GU1511" s="1"/>
      <c r="GV1511" s="1"/>
      <c r="GW1511" s="1"/>
      <c r="GX1511" s="1"/>
      <c r="GY1511" s="1"/>
      <c r="GZ1511" s="1"/>
      <c r="HA1511" s="1"/>
      <c r="HB1511" s="1"/>
      <c r="HC1511" s="1"/>
      <c r="HD1511" s="1"/>
      <c r="HE1511" s="1"/>
      <c r="HF1511" s="1"/>
      <c r="HG1511" s="1"/>
      <c r="HH1511" s="1"/>
    </row>
    <row r="1512" spans="1:216" x14ac:dyDescent="0.3">
      <c r="A1512" s="3"/>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c r="GY1512" s="1"/>
      <c r="GZ1512" s="1"/>
      <c r="HA1512" s="1"/>
      <c r="HB1512" s="1"/>
      <c r="HC1512" s="1"/>
      <c r="HD1512" s="1"/>
      <c r="HE1512" s="1"/>
      <c r="HF1512" s="1"/>
      <c r="HG1512" s="1"/>
      <c r="HH1512" s="1"/>
    </row>
    <row r="1513" spans="1:216" x14ac:dyDescent="0.3">
      <c r="A1513" s="3"/>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GS1513" s="1"/>
      <c r="GT1513" s="1"/>
      <c r="GU1513" s="1"/>
      <c r="GV1513" s="1"/>
      <c r="GW1513" s="1"/>
      <c r="GX1513" s="1"/>
      <c r="GY1513" s="1"/>
      <c r="GZ1513" s="1"/>
      <c r="HA1513" s="1"/>
      <c r="HB1513" s="1"/>
      <c r="HC1513" s="1"/>
      <c r="HD1513" s="1"/>
      <c r="HE1513" s="1"/>
      <c r="HF1513" s="1"/>
      <c r="HG1513" s="1"/>
      <c r="HH1513" s="1"/>
    </row>
    <row r="1514" spans="1:216" x14ac:dyDescent="0.3">
      <c r="A1514" s="3"/>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c r="GY1514" s="1"/>
      <c r="GZ1514" s="1"/>
      <c r="HA1514" s="1"/>
      <c r="HB1514" s="1"/>
      <c r="HC1514" s="1"/>
      <c r="HD1514" s="1"/>
      <c r="HE1514" s="1"/>
      <c r="HF1514" s="1"/>
      <c r="HG1514" s="1"/>
      <c r="HH1514" s="1"/>
    </row>
    <row r="1515" spans="1:216" x14ac:dyDescent="0.3">
      <c r="A1515" s="3"/>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c r="FN1515" s="1"/>
      <c r="FO1515" s="1"/>
      <c r="FP1515" s="1"/>
      <c r="FQ1515" s="1"/>
      <c r="FR1515" s="1"/>
      <c r="FS1515" s="1"/>
      <c r="FT1515" s="1"/>
      <c r="FU1515" s="1"/>
      <c r="FV1515" s="1"/>
      <c r="FW1515" s="1"/>
      <c r="FX1515" s="1"/>
      <c r="FY1515" s="1"/>
      <c r="FZ1515" s="1"/>
      <c r="GA1515" s="1"/>
      <c r="GB1515" s="1"/>
      <c r="GC1515" s="1"/>
      <c r="GD1515" s="1"/>
      <c r="GE1515" s="1"/>
      <c r="GF1515" s="1"/>
      <c r="GG1515" s="1"/>
      <c r="GH1515" s="1"/>
      <c r="GI1515" s="1"/>
      <c r="GJ1515" s="1"/>
      <c r="GK1515" s="1"/>
      <c r="GL1515" s="1"/>
      <c r="GM1515" s="1"/>
      <c r="GN1515" s="1"/>
      <c r="GO1515" s="1"/>
      <c r="GP1515" s="1"/>
      <c r="GQ1515" s="1"/>
      <c r="GR1515" s="1"/>
      <c r="GS1515" s="1"/>
      <c r="GT1515" s="1"/>
      <c r="GU1515" s="1"/>
      <c r="GV1515" s="1"/>
      <c r="GW1515" s="1"/>
      <c r="GX1515" s="1"/>
      <c r="GY1515" s="1"/>
      <c r="GZ1515" s="1"/>
      <c r="HA1515" s="1"/>
      <c r="HB1515" s="1"/>
      <c r="HC1515" s="1"/>
      <c r="HD1515" s="1"/>
      <c r="HE1515" s="1"/>
      <c r="HF1515" s="1"/>
      <c r="HG1515" s="1"/>
      <c r="HH1515" s="1"/>
    </row>
    <row r="1516" spans="1:216" x14ac:dyDescent="0.3">
      <c r="A1516" s="3"/>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c r="FN1516" s="1"/>
      <c r="FO1516" s="1"/>
      <c r="FP1516" s="1"/>
      <c r="FQ1516" s="1"/>
      <c r="FR1516" s="1"/>
      <c r="FS1516" s="1"/>
      <c r="FT1516" s="1"/>
      <c r="FU1516" s="1"/>
      <c r="FV1516" s="1"/>
      <c r="FW1516" s="1"/>
      <c r="FX1516" s="1"/>
      <c r="FY1516" s="1"/>
      <c r="FZ1516" s="1"/>
      <c r="GA1516" s="1"/>
      <c r="GB1516" s="1"/>
      <c r="GC1516" s="1"/>
      <c r="GD1516" s="1"/>
      <c r="GE1516" s="1"/>
      <c r="GF1516" s="1"/>
      <c r="GG1516" s="1"/>
      <c r="GH1516" s="1"/>
      <c r="GI1516" s="1"/>
      <c r="GJ1516" s="1"/>
      <c r="GK1516" s="1"/>
      <c r="GL1516" s="1"/>
      <c r="GM1516" s="1"/>
      <c r="GN1516" s="1"/>
      <c r="GO1516" s="1"/>
      <c r="GP1516" s="1"/>
      <c r="GQ1516" s="1"/>
      <c r="GR1516" s="1"/>
      <c r="GS1516" s="1"/>
      <c r="GT1516" s="1"/>
      <c r="GU1516" s="1"/>
      <c r="GV1516" s="1"/>
      <c r="GW1516" s="1"/>
      <c r="GX1516" s="1"/>
      <c r="GY1516" s="1"/>
      <c r="GZ1516" s="1"/>
      <c r="HA1516" s="1"/>
      <c r="HB1516" s="1"/>
      <c r="HC1516" s="1"/>
      <c r="HD1516" s="1"/>
      <c r="HE1516" s="1"/>
      <c r="HF1516" s="1"/>
      <c r="HG1516" s="1"/>
      <c r="HH1516" s="1"/>
    </row>
    <row r="1517" spans="1:216" x14ac:dyDescent="0.3">
      <c r="A1517" s="3"/>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c r="GL1517" s="1"/>
      <c r="GM1517" s="1"/>
      <c r="GN1517" s="1"/>
      <c r="GO1517" s="1"/>
      <c r="GP1517" s="1"/>
      <c r="GQ1517" s="1"/>
      <c r="GR1517" s="1"/>
      <c r="GS1517" s="1"/>
      <c r="GT1517" s="1"/>
      <c r="GU1517" s="1"/>
      <c r="GV1517" s="1"/>
      <c r="GW1517" s="1"/>
      <c r="GX1517" s="1"/>
      <c r="GY1517" s="1"/>
      <c r="GZ1517" s="1"/>
      <c r="HA1517" s="1"/>
      <c r="HB1517" s="1"/>
      <c r="HC1517" s="1"/>
      <c r="HD1517" s="1"/>
      <c r="HE1517" s="1"/>
      <c r="HF1517" s="1"/>
      <c r="HG1517" s="1"/>
      <c r="HH1517" s="1"/>
    </row>
    <row r="1518" spans="1:216" x14ac:dyDescent="0.3">
      <c r="A1518" s="3"/>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c r="FN1518" s="1"/>
      <c r="FO1518" s="1"/>
      <c r="FP1518" s="1"/>
      <c r="FQ1518" s="1"/>
      <c r="FR1518" s="1"/>
      <c r="FS1518" s="1"/>
      <c r="FT1518" s="1"/>
      <c r="FU1518" s="1"/>
      <c r="FV1518" s="1"/>
      <c r="FW1518" s="1"/>
      <c r="FX1518" s="1"/>
      <c r="FY1518" s="1"/>
      <c r="FZ1518" s="1"/>
      <c r="GA1518" s="1"/>
      <c r="GB1518" s="1"/>
      <c r="GC1518" s="1"/>
      <c r="GD1518" s="1"/>
      <c r="GE1518" s="1"/>
      <c r="GF1518" s="1"/>
      <c r="GG1518" s="1"/>
      <c r="GH1518" s="1"/>
      <c r="GI1518" s="1"/>
      <c r="GJ1518" s="1"/>
      <c r="GK1518" s="1"/>
      <c r="GL1518" s="1"/>
      <c r="GM1518" s="1"/>
      <c r="GN1518" s="1"/>
      <c r="GO1518" s="1"/>
      <c r="GP1518" s="1"/>
      <c r="GQ1518" s="1"/>
      <c r="GR1518" s="1"/>
      <c r="GS1518" s="1"/>
      <c r="GT1518" s="1"/>
      <c r="GU1518" s="1"/>
      <c r="GV1518" s="1"/>
      <c r="GW1518" s="1"/>
      <c r="GX1518" s="1"/>
      <c r="GY1518" s="1"/>
      <c r="GZ1518" s="1"/>
      <c r="HA1518" s="1"/>
      <c r="HB1518" s="1"/>
      <c r="HC1518" s="1"/>
      <c r="HD1518" s="1"/>
      <c r="HE1518" s="1"/>
      <c r="HF1518" s="1"/>
      <c r="HG1518" s="1"/>
      <c r="HH1518" s="1"/>
    </row>
    <row r="1519" spans="1:216" x14ac:dyDescent="0.3">
      <c r="A1519" s="3"/>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c r="GL1519" s="1"/>
      <c r="GM1519" s="1"/>
      <c r="GN1519" s="1"/>
      <c r="GO1519" s="1"/>
      <c r="GP1519" s="1"/>
      <c r="GQ1519" s="1"/>
      <c r="GR1519" s="1"/>
      <c r="GS1519" s="1"/>
      <c r="GT1519" s="1"/>
      <c r="GU1519" s="1"/>
      <c r="GV1519" s="1"/>
      <c r="GW1519" s="1"/>
      <c r="GX1519" s="1"/>
      <c r="GY1519" s="1"/>
      <c r="GZ1519" s="1"/>
      <c r="HA1519" s="1"/>
      <c r="HB1519" s="1"/>
      <c r="HC1519" s="1"/>
      <c r="HD1519" s="1"/>
      <c r="HE1519" s="1"/>
      <c r="HF1519" s="1"/>
      <c r="HG1519" s="1"/>
      <c r="HH1519" s="1"/>
    </row>
    <row r="1520" spans="1:216" x14ac:dyDescent="0.3">
      <c r="A1520" s="3"/>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c r="FN1520" s="1"/>
      <c r="FO1520" s="1"/>
      <c r="FP1520" s="1"/>
      <c r="FQ1520" s="1"/>
      <c r="FR1520" s="1"/>
      <c r="FS1520" s="1"/>
      <c r="FT1520" s="1"/>
      <c r="FU1520" s="1"/>
      <c r="FV1520" s="1"/>
      <c r="FW1520" s="1"/>
      <c r="FX1520" s="1"/>
      <c r="FY1520" s="1"/>
      <c r="FZ1520" s="1"/>
      <c r="GA1520" s="1"/>
      <c r="GB1520" s="1"/>
      <c r="GC1520" s="1"/>
      <c r="GD1520" s="1"/>
      <c r="GE1520" s="1"/>
      <c r="GF1520" s="1"/>
      <c r="GG1520" s="1"/>
      <c r="GH1520" s="1"/>
      <c r="GI1520" s="1"/>
      <c r="GJ1520" s="1"/>
      <c r="GK1520" s="1"/>
      <c r="GL1520" s="1"/>
      <c r="GM1520" s="1"/>
      <c r="GN1520" s="1"/>
      <c r="GO1520" s="1"/>
      <c r="GP1520" s="1"/>
      <c r="GQ1520" s="1"/>
      <c r="GR1520" s="1"/>
      <c r="GS1520" s="1"/>
      <c r="GT1520" s="1"/>
      <c r="GU1520" s="1"/>
      <c r="GV1520" s="1"/>
      <c r="GW1520" s="1"/>
      <c r="GX1520" s="1"/>
      <c r="GY1520" s="1"/>
      <c r="GZ1520" s="1"/>
      <c r="HA1520" s="1"/>
      <c r="HB1520" s="1"/>
      <c r="HC1520" s="1"/>
      <c r="HD1520" s="1"/>
      <c r="HE1520" s="1"/>
      <c r="HF1520" s="1"/>
      <c r="HG1520" s="1"/>
      <c r="HH1520" s="1"/>
    </row>
    <row r="1521" spans="1:216" x14ac:dyDescent="0.3">
      <c r="A1521" s="3"/>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c r="GL1521" s="1"/>
      <c r="GM1521" s="1"/>
      <c r="GN1521" s="1"/>
      <c r="GO1521" s="1"/>
      <c r="GP1521" s="1"/>
      <c r="GQ1521" s="1"/>
      <c r="GR1521" s="1"/>
      <c r="GS1521" s="1"/>
      <c r="GT1521" s="1"/>
      <c r="GU1521" s="1"/>
      <c r="GV1521" s="1"/>
      <c r="GW1521" s="1"/>
      <c r="GX1521" s="1"/>
      <c r="GY1521" s="1"/>
      <c r="GZ1521" s="1"/>
      <c r="HA1521" s="1"/>
      <c r="HB1521" s="1"/>
      <c r="HC1521" s="1"/>
      <c r="HD1521" s="1"/>
      <c r="HE1521" s="1"/>
      <c r="HF1521" s="1"/>
      <c r="HG1521" s="1"/>
      <c r="HH1521" s="1"/>
    </row>
    <row r="1522" spans="1:216" x14ac:dyDescent="0.3">
      <c r="A1522" s="3"/>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c r="GL1522" s="1"/>
      <c r="GM1522" s="1"/>
      <c r="GN1522" s="1"/>
      <c r="GO1522" s="1"/>
      <c r="GP1522" s="1"/>
      <c r="GQ1522" s="1"/>
      <c r="GR1522" s="1"/>
      <c r="GS1522" s="1"/>
      <c r="GT1522" s="1"/>
      <c r="GU1522" s="1"/>
      <c r="GV1522" s="1"/>
      <c r="GW1522" s="1"/>
      <c r="GX1522" s="1"/>
      <c r="GY1522" s="1"/>
      <c r="GZ1522" s="1"/>
      <c r="HA1522" s="1"/>
      <c r="HB1522" s="1"/>
      <c r="HC1522" s="1"/>
      <c r="HD1522" s="1"/>
      <c r="HE1522" s="1"/>
      <c r="HF1522" s="1"/>
      <c r="HG1522" s="1"/>
      <c r="HH1522" s="1"/>
    </row>
    <row r="1523" spans="1:216" x14ac:dyDescent="0.3">
      <c r="A1523" s="3"/>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c r="FN1523" s="1"/>
      <c r="FO1523" s="1"/>
      <c r="FP1523" s="1"/>
      <c r="FQ1523" s="1"/>
      <c r="FR1523" s="1"/>
      <c r="FS1523" s="1"/>
      <c r="FT1523" s="1"/>
      <c r="FU1523" s="1"/>
      <c r="FV1523" s="1"/>
      <c r="FW1523" s="1"/>
      <c r="FX1523" s="1"/>
      <c r="FY1523" s="1"/>
      <c r="FZ1523" s="1"/>
      <c r="GA1523" s="1"/>
      <c r="GB1523" s="1"/>
      <c r="GC1523" s="1"/>
      <c r="GD1523" s="1"/>
      <c r="GE1523" s="1"/>
      <c r="GF1523" s="1"/>
      <c r="GG1523" s="1"/>
      <c r="GH1523" s="1"/>
      <c r="GI1523" s="1"/>
      <c r="GJ1523" s="1"/>
      <c r="GK1523" s="1"/>
      <c r="GL1523" s="1"/>
      <c r="GM1523" s="1"/>
      <c r="GN1523" s="1"/>
      <c r="GO1523" s="1"/>
      <c r="GP1523" s="1"/>
      <c r="GQ1523" s="1"/>
      <c r="GR1523" s="1"/>
      <c r="GS1523" s="1"/>
      <c r="GT1523" s="1"/>
      <c r="GU1523" s="1"/>
      <c r="GV1523" s="1"/>
      <c r="GW1523" s="1"/>
      <c r="GX1523" s="1"/>
      <c r="GY1523" s="1"/>
      <c r="GZ1523" s="1"/>
      <c r="HA1523" s="1"/>
      <c r="HB1523" s="1"/>
      <c r="HC1523" s="1"/>
      <c r="HD1523" s="1"/>
      <c r="HE1523" s="1"/>
      <c r="HF1523" s="1"/>
      <c r="HG1523" s="1"/>
      <c r="HH1523" s="1"/>
    </row>
    <row r="1524" spans="1:216" x14ac:dyDescent="0.3">
      <c r="A1524" s="3"/>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c r="GL1524" s="1"/>
      <c r="GM1524" s="1"/>
      <c r="GN1524" s="1"/>
      <c r="GO1524" s="1"/>
      <c r="GP1524" s="1"/>
      <c r="GQ1524" s="1"/>
      <c r="GR1524" s="1"/>
      <c r="GS1524" s="1"/>
      <c r="GT1524" s="1"/>
      <c r="GU1524" s="1"/>
      <c r="GV1524" s="1"/>
      <c r="GW1524" s="1"/>
      <c r="GX1524" s="1"/>
      <c r="GY1524" s="1"/>
      <c r="GZ1524" s="1"/>
      <c r="HA1524" s="1"/>
      <c r="HB1524" s="1"/>
      <c r="HC1524" s="1"/>
      <c r="HD1524" s="1"/>
      <c r="HE1524" s="1"/>
      <c r="HF1524" s="1"/>
      <c r="HG1524" s="1"/>
      <c r="HH1524" s="1"/>
    </row>
    <row r="1525" spans="1:216" x14ac:dyDescent="0.3">
      <c r="A1525" s="3"/>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GS1525" s="1"/>
      <c r="GT1525" s="1"/>
      <c r="GU1525" s="1"/>
      <c r="GV1525" s="1"/>
      <c r="GW1525" s="1"/>
      <c r="GX1525" s="1"/>
      <c r="GY1525" s="1"/>
      <c r="GZ1525" s="1"/>
      <c r="HA1525" s="1"/>
      <c r="HB1525" s="1"/>
      <c r="HC1525" s="1"/>
      <c r="HD1525" s="1"/>
      <c r="HE1525" s="1"/>
      <c r="HF1525" s="1"/>
      <c r="HG1525" s="1"/>
      <c r="HH1525" s="1"/>
    </row>
    <row r="1526" spans="1:216" x14ac:dyDescent="0.3">
      <c r="A1526" s="3"/>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c r="FN1526" s="1"/>
      <c r="FO1526" s="1"/>
      <c r="FP1526" s="1"/>
      <c r="FQ1526" s="1"/>
      <c r="FR1526" s="1"/>
      <c r="FS1526" s="1"/>
      <c r="FT1526" s="1"/>
      <c r="FU1526" s="1"/>
      <c r="FV1526" s="1"/>
      <c r="FW1526" s="1"/>
      <c r="FX1526" s="1"/>
      <c r="FY1526" s="1"/>
      <c r="FZ1526" s="1"/>
      <c r="GA1526" s="1"/>
      <c r="GB1526" s="1"/>
      <c r="GC1526" s="1"/>
      <c r="GD1526" s="1"/>
      <c r="GE1526" s="1"/>
      <c r="GF1526" s="1"/>
      <c r="GG1526" s="1"/>
      <c r="GH1526" s="1"/>
      <c r="GI1526" s="1"/>
      <c r="GJ1526" s="1"/>
      <c r="GK1526" s="1"/>
      <c r="GL1526" s="1"/>
      <c r="GM1526" s="1"/>
      <c r="GN1526" s="1"/>
      <c r="GO1526" s="1"/>
      <c r="GP1526" s="1"/>
      <c r="GQ1526" s="1"/>
      <c r="GR1526" s="1"/>
      <c r="GS1526" s="1"/>
      <c r="GT1526" s="1"/>
      <c r="GU1526" s="1"/>
      <c r="GV1526" s="1"/>
      <c r="GW1526" s="1"/>
      <c r="GX1526" s="1"/>
      <c r="GY1526" s="1"/>
      <c r="GZ1526" s="1"/>
      <c r="HA1526" s="1"/>
      <c r="HB1526" s="1"/>
      <c r="HC1526" s="1"/>
      <c r="HD1526" s="1"/>
      <c r="HE1526" s="1"/>
      <c r="HF1526" s="1"/>
      <c r="HG1526" s="1"/>
      <c r="HH1526" s="1"/>
    </row>
    <row r="1527" spans="1:216" x14ac:dyDescent="0.3">
      <c r="A1527" s="3"/>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c r="FN1527" s="1"/>
      <c r="FO1527" s="1"/>
      <c r="FP1527" s="1"/>
      <c r="FQ1527" s="1"/>
      <c r="FR1527" s="1"/>
      <c r="FS1527" s="1"/>
      <c r="FT1527" s="1"/>
      <c r="FU1527" s="1"/>
      <c r="FV1527" s="1"/>
      <c r="FW1527" s="1"/>
      <c r="FX1527" s="1"/>
      <c r="FY1527" s="1"/>
      <c r="FZ1527" s="1"/>
      <c r="GA1527" s="1"/>
      <c r="GB1527" s="1"/>
      <c r="GC1527" s="1"/>
      <c r="GD1527" s="1"/>
      <c r="GE1527" s="1"/>
      <c r="GF1527" s="1"/>
      <c r="GG1527" s="1"/>
      <c r="GH1527" s="1"/>
      <c r="GI1527" s="1"/>
      <c r="GJ1527" s="1"/>
      <c r="GK1527" s="1"/>
      <c r="GL1527" s="1"/>
      <c r="GM1527" s="1"/>
      <c r="GN1527" s="1"/>
      <c r="GO1527" s="1"/>
      <c r="GP1527" s="1"/>
      <c r="GQ1527" s="1"/>
      <c r="GR1527" s="1"/>
      <c r="GS1527" s="1"/>
      <c r="GT1527" s="1"/>
      <c r="GU1527" s="1"/>
      <c r="GV1527" s="1"/>
      <c r="GW1527" s="1"/>
      <c r="GX1527" s="1"/>
      <c r="GY1527" s="1"/>
      <c r="GZ1527" s="1"/>
      <c r="HA1527" s="1"/>
      <c r="HB1527" s="1"/>
      <c r="HC1527" s="1"/>
      <c r="HD1527" s="1"/>
      <c r="HE1527" s="1"/>
      <c r="HF1527" s="1"/>
      <c r="HG1527" s="1"/>
      <c r="HH1527" s="1"/>
    </row>
    <row r="1528" spans="1:216" x14ac:dyDescent="0.3">
      <c r="A1528" s="3"/>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c r="FN1528" s="1"/>
      <c r="FO1528" s="1"/>
      <c r="FP1528" s="1"/>
      <c r="FQ1528" s="1"/>
      <c r="FR1528" s="1"/>
      <c r="FS1528" s="1"/>
      <c r="FT1528" s="1"/>
      <c r="FU1528" s="1"/>
      <c r="FV1528" s="1"/>
      <c r="FW1528" s="1"/>
      <c r="FX1528" s="1"/>
      <c r="FY1528" s="1"/>
      <c r="FZ1528" s="1"/>
      <c r="GA1528" s="1"/>
      <c r="GB1528" s="1"/>
      <c r="GC1528" s="1"/>
      <c r="GD1528" s="1"/>
      <c r="GE1528" s="1"/>
      <c r="GF1528" s="1"/>
      <c r="GG1528" s="1"/>
      <c r="GH1528" s="1"/>
      <c r="GI1528" s="1"/>
      <c r="GJ1528" s="1"/>
      <c r="GK1528" s="1"/>
      <c r="GL1528" s="1"/>
      <c r="GM1528" s="1"/>
      <c r="GN1528" s="1"/>
      <c r="GO1528" s="1"/>
      <c r="GP1528" s="1"/>
      <c r="GQ1528" s="1"/>
      <c r="GR1528" s="1"/>
      <c r="GS1528" s="1"/>
      <c r="GT1528" s="1"/>
      <c r="GU1528" s="1"/>
      <c r="GV1528" s="1"/>
      <c r="GW1528" s="1"/>
      <c r="GX1528" s="1"/>
      <c r="GY1528" s="1"/>
      <c r="GZ1528" s="1"/>
      <c r="HA1528" s="1"/>
      <c r="HB1528" s="1"/>
      <c r="HC1528" s="1"/>
      <c r="HD1528" s="1"/>
      <c r="HE1528" s="1"/>
      <c r="HF1528" s="1"/>
      <c r="HG1528" s="1"/>
      <c r="HH1528" s="1"/>
    </row>
    <row r="1529" spans="1:216" x14ac:dyDescent="0.3">
      <c r="A1529" s="3"/>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c r="FN1529" s="1"/>
      <c r="FO1529" s="1"/>
      <c r="FP1529" s="1"/>
      <c r="FQ1529" s="1"/>
      <c r="FR1529" s="1"/>
      <c r="FS1529" s="1"/>
      <c r="FT1529" s="1"/>
      <c r="FU1529" s="1"/>
      <c r="FV1529" s="1"/>
      <c r="FW1529" s="1"/>
      <c r="FX1529" s="1"/>
      <c r="FY1529" s="1"/>
      <c r="FZ1529" s="1"/>
      <c r="GA1529" s="1"/>
      <c r="GB1529" s="1"/>
      <c r="GC1529" s="1"/>
      <c r="GD1529" s="1"/>
      <c r="GE1529" s="1"/>
      <c r="GF1529" s="1"/>
      <c r="GG1529" s="1"/>
      <c r="GH1529" s="1"/>
      <c r="GI1529" s="1"/>
      <c r="GJ1529" s="1"/>
      <c r="GK1529" s="1"/>
      <c r="GL1529" s="1"/>
      <c r="GM1529" s="1"/>
      <c r="GN1529" s="1"/>
      <c r="GO1529" s="1"/>
      <c r="GP1529" s="1"/>
      <c r="GQ1529" s="1"/>
      <c r="GR1529" s="1"/>
      <c r="GS1529" s="1"/>
      <c r="GT1529" s="1"/>
      <c r="GU1529" s="1"/>
      <c r="GV1529" s="1"/>
      <c r="GW1529" s="1"/>
      <c r="GX1529" s="1"/>
      <c r="GY1529" s="1"/>
      <c r="GZ1529" s="1"/>
      <c r="HA1529" s="1"/>
      <c r="HB1529" s="1"/>
      <c r="HC1529" s="1"/>
      <c r="HD1529" s="1"/>
      <c r="HE1529" s="1"/>
      <c r="HF1529" s="1"/>
      <c r="HG1529" s="1"/>
      <c r="HH1529" s="1"/>
    </row>
    <row r="1530" spans="1:216" x14ac:dyDescent="0.3">
      <c r="A1530" s="3"/>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c r="FN1530" s="1"/>
      <c r="FO1530" s="1"/>
      <c r="FP1530" s="1"/>
      <c r="FQ1530" s="1"/>
      <c r="FR1530" s="1"/>
      <c r="FS1530" s="1"/>
      <c r="FT1530" s="1"/>
      <c r="FU1530" s="1"/>
      <c r="FV1530" s="1"/>
      <c r="FW1530" s="1"/>
      <c r="FX1530" s="1"/>
      <c r="FY1530" s="1"/>
      <c r="FZ1530" s="1"/>
      <c r="GA1530" s="1"/>
      <c r="GB1530" s="1"/>
      <c r="GC1530" s="1"/>
      <c r="GD1530" s="1"/>
      <c r="GE1530" s="1"/>
      <c r="GF1530" s="1"/>
      <c r="GG1530" s="1"/>
      <c r="GH1530" s="1"/>
      <c r="GI1530" s="1"/>
      <c r="GJ1530" s="1"/>
      <c r="GK1530" s="1"/>
      <c r="GL1530" s="1"/>
      <c r="GM1530" s="1"/>
      <c r="GN1530" s="1"/>
      <c r="GO1530" s="1"/>
      <c r="GP1530" s="1"/>
      <c r="GQ1530" s="1"/>
      <c r="GR1530" s="1"/>
      <c r="GS1530" s="1"/>
      <c r="GT1530" s="1"/>
      <c r="GU1530" s="1"/>
      <c r="GV1530" s="1"/>
      <c r="GW1530" s="1"/>
      <c r="GX1530" s="1"/>
      <c r="GY1530" s="1"/>
      <c r="GZ1530" s="1"/>
      <c r="HA1530" s="1"/>
      <c r="HB1530" s="1"/>
      <c r="HC1530" s="1"/>
      <c r="HD1530" s="1"/>
      <c r="HE1530" s="1"/>
      <c r="HF1530" s="1"/>
      <c r="HG1530" s="1"/>
      <c r="HH1530" s="1"/>
    </row>
    <row r="1531" spans="1:216" x14ac:dyDescent="0.3">
      <c r="A1531" s="3"/>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c r="FN1531" s="1"/>
      <c r="FO1531" s="1"/>
      <c r="FP1531" s="1"/>
      <c r="FQ1531" s="1"/>
      <c r="FR1531" s="1"/>
      <c r="FS1531" s="1"/>
      <c r="FT1531" s="1"/>
      <c r="FU1531" s="1"/>
      <c r="FV1531" s="1"/>
      <c r="FW1531" s="1"/>
      <c r="FX1531" s="1"/>
      <c r="FY1531" s="1"/>
      <c r="FZ1531" s="1"/>
      <c r="GA1531" s="1"/>
      <c r="GB1531" s="1"/>
      <c r="GC1531" s="1"/>
      <c r="GD1531" s="1"/>
      <c r="GE1531" s="1"/>
      <c r="GF1531" s="1"/>
      <c r="GG1531" s="1"/>
      <c r="GH1531" s="1"/>
      <c r="GI1531" s="1"/>
      <c r="GJ1531" s="1"/>
      <c r="GK1531" s="1"/>
      <c r="GL1531" s="1"/>
      <c r="GM1531" s="1"/>
      <c r="GN1531" s="1"/>
      <c r="GO1531" s="1"/>
      <c r="GP1531" s="1"/>
      <c r="GQ1531" s="1"/>
      <c r="GR1531" s="1"/>
      <c r="GS1531" s="1"/>
      <c r="GT1531" s="1"/>
      <c r="GU1531" s="1"/>
      <c r="GV1531" s="1"/>
      <c r="GW1531" s="1"/>
      <c r="GX1531" s="1"/>
      <c r="GY1531" s="1"/>
      <c r="GZ1531" s="1"/>
      <c r="HA1531" s="1"/>
      <c r="HB1531" s="1"/>
      <c r="HC1531" s="1"/>
      <c r="HD1531" s="1"/>
      <c r="HE1531" s="1"/>
      <c r="HF1531" s="1"/>
      <c r="HG1531" s="1"/>
      <c r="HH1531" s="1"/>
    </row>
    <row r="1532" spans="1:216" x14ac:dyDescent="0.3">
      <c r="A1532" s="3"/>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c r="FN1532" s="1"/>
      <c r="FO1532" s="1"/>
      <c r="FP1532" s="1"/>
      <c r="FQ1532" s="1"/>
      <c r="FR1532" s="1"/>
      <c r="FS1532" s="1"/>
      <c r="FT1532" s="1"/>
      <c r="FU1532" s="1"/>
      <c r="FV1532" s="1"/>
      <c r="FW1532" s="1"/>
      <c r="FX1532" s="1"/>
      <c r="FY1532" s="1"/>
      <c r="FZ1532" s="1"/>
      <c r="GA1532" s="1"/>
      <c r="GB1532" s="1"/>
      <c r="GC1532" s="1"/>
      <c r="GD1532" s="1"/>
      <c r="GE1532" s="1"/>
      <c r="GF1532" s="1"/>
      <c r="GG1532" s="1"/>
      <c r="GH1532" s="1"/>
      <c r="GI1532" s="1"/>
      <c r="GJ1532" s="1"/>
      <c r="GK1532" s="1"/>
      <c r="GL1532" s="1"/>
      <c r="GM1532" s="1"/>
      <c r="GN1532" s="1"/>
      <c r="GO1532" s="1"/>
      <c r="GP1532" s="1"/>
      <c r="GQ1532" s="1"/>
      <c r="GR1532" s="1"/>
      <c r="GS1532" s="1"/>
      <c r="GT1532" s="1"/>
      <c r="GU1532" s="1"/>
      <c r="GV1532" s="1"/>
      <c r="GW1532" s="1"/>
      <c r="GX1532" s="1"/>
      <c r="GY1532" s="1"/>
      <c r="GZ1532" s="1"/>
      <c r="HA1532" s="1"/>
      <c r="HB1532" s="1"/>
      <c r="HC1532" s="1"/>
      <c r="HD1532" s="1"/>
      <c r="HE1532" s="1"/>
      <c r="HF1532" s="1"/>
      <c r="HG1532" s="1"/>
      <c r="HH1532" s="1"/>
    </row>
    <row r="1533" spans="1:216" x14ac:dyDescent="0.3">
      <c r="A1533" s="3"/>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c r="FN1533" s="1"/>
      <c r="FO1533" s="1"/>
      <c r="FP1533" s="1"/>
      <c r="FQ1533" s="1"/>
      <c r="FR1533" s="1"/>
      <c r="FS1533" s="1"/>
      <c r="FT1533" s="1"/>
      <c r="FU1533" s="1"/>
      <c r="FV1533" s="1"/>
      <c r="FW1533" s="1"/>
      <c r="FX1533" s="1"/>
      <c r="FY1533" s="1"/>
      <c r="FZ1533" s="1"/>
      <c r="GA1533" s="1"/>
      <c r="GB1533" s="1"/>
      <c r="GC1533" s="1"/>
      <c r="GD1533" s="1"/>
      <c r="GE1533" s="1"/>
      <c r="GF1533" s="1"/>
      <c r="GG1533" s="1"/>
      <c r="GH1533" s="1"/>
      <c r="GI1533" s="1"/>
      <c r="GJ1533" s="1"/>
      <c r="GK1533" s="1"/>
      <c r="GL1533" s="1"/>
      <c r="GM1533" s="1"/>
      <c r="GN1533" s="1"/>
      <c r="GO1533" s="1"/>
      <c r="GP1533" s="1"/>
      <c r="GQ1533" s="1"/>
      <c r="GR1533" s="1"/>
      <c r="GS1533" s="1"/>
      <c r="GT1533" s="1"/>
      <c r="GU1533" s="1"/>
      <c r="GV1533" s="1"/>
      <c r="GW1533" s="1"/>
      <c r="GX1533" s="1"/>
      <c r="GY1533" s="1"/>
      <c r="GZ1533" s="1"/>
      <c r="HA1533" s="1"/>
      <c r="HB1533" s="1"/>
      <c r="HC1533" s="1"/>
      <c r="HD1533" s="1"/>
      <c r="HE1533" s="1"/>
      <c r="HF1533" s="1"/>
      <c r="HG1533" s="1"/>
      <c r="HH1533" s="1"/>
    </row>
    <row r="1534" spans="1:216" x14ac:dyDescent="0.3">
      <c r="A1534" s="3"/>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GS1534" s="1"/>
      <c r="GT1534" s="1"/>
      <c r="GU1534" s="1"/>
      <c r="GV1534" s="1"/>
      <c r="GW1534" s="1"/>
      <c r="GX1534" s="1"/>
      <c r="GY1534" s="1"/>
      <c r="GZ1534" s="1"/>
      <c r="HA1534" s="1"/>
      <c r="HB1534" s="1"/>
      <c r="HC1534" s="1"/>
      <c r="HD1534" s="1"/>
      <c r="HE1534" s="1"/>
      <c r="HF1534" s="1"/>
      <c r="HG1534" s="1"/>
      <c r="HH1534" s="1"/>
    </row>
    <row r="1535" spans="1:216" x14ac:dyDescent="0.3">
      <c r="A1535" s="3"/>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c r="GL1535" s="1"/>
      <c r="GM1535" s="1"/>
      <c r="GN1535" s="1"/>
      <c r="GO1535" s="1"/>
      <c r="GP1535" s="1"/>
      <c r="GQ1535" s="1"/>
      <c r="GR1535" s="1"/>
      <c r="GS1535" s="1"/>
      <c r="GT1535" s="1"/>
      <c r="GU1535" s="1"/>
      <c r="GV1535" s="1"/>
      <c r="GW1535" s="1"/>
      <c r="GX1535" s="1"/>
      <c r="GY1535" s="1"/>
      <c r="GZ1535" s="1"/>
      <c r="HA1535" s="1"/>
      <c r="HB1535" s="1"/>
      <c r="HC1535" s="1"/>
      <c r="HD1535" s="1"/>
      <c r="HE1535" s="1"/>
      <c r="HF1535" s="1"/>
      <c r="HG1535" s="1"/>
      <c r="HH1535" s="1"/>
    </row>
    <row r="1536" spans="1:216" x14ac:dyDescent="0.3">
      <c r="A1536" s="3"/>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c r="GL1536" s="1"/>
      <c r="GM1536" s="1"/>
      <c r="GN1536" s="1"/>
      <c r="GO1536" s="1"/>
      <c r="GP1536" s="1"/>
      <c r="GQ1536" s="1"/>
      <c r="GR1536" s="1"/>
      <c r="GS1536" s="1"/>
      <c r="GT1536" s="1"/>
      <c r="GU1536" s="1"/>
      <c r="GV1536" s="1"/>
      <c r="GW1536" s="1"/>
      <c r="GX1536" s="1"/>
      <c r="GY1536" s="1"/>
      <c r="GZ1536" s="1"/>
      <c r="HA1536" s="1"/>
      <c r="HB1536" s="1"/>
      <c r="HC1536" s="1"/>
      <c r="HD1536" s="1"/>
      <c r="HE1536" s="1"/>
      <c r="HF1536" s="1"/>
      <c r="HG1536" s="1"/>
      <c r="HH1536" s="1"/>
    </row>
    <row r="1537" spans="1:216" x14ac:dyDescent="0.3">
      <c r="A1537" s="3"/>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c r="FN1537" s="1"/>
      <c r="FO1537" s="1"/>
      <c r="FP1537" s="1"/>
      <c r="FQ1537" s="1"/>
      <c r="FR1537" s="1"/>
      <c r="FS1537" s="1"/>
      <c r="FT1537" s="1"/>
      <c r="FU1537" s="1"/>
      <c r="FV1537" s="1"/>
      <c r="FW1537" s="1"/>
      <c r="FX1537" s="1"/>
      <c r="FY1537" s="1"/>
      <c r="FZ1537" s="1"/>
      <c r="GA1537" s="1"/>
      <c r="GB1537" s="1"/>
      <c r="GC1537" s="1"/>
      <c r="GD1537" s="1"/>
      <c r="GE1537" s="1"/>
      <c r="GF1537" s="1"/>
      <c r="GG1537" s="1"/>
      <c r="GH1537" s="1"/>
      <c r="GI1537" s="1"/>
      <c r="GJ1537" s="1"/>
      <c r="GK1537" s="1"/>
      <c r="GL1537" s="1"/>
      <c r="GM1537" s="1"/>
      <c r="GN1537" s="1"/>
      <c r="GO1537" s="1"/>
      <c r="GP1537" s="1"/>
      <c r="GQ1537" s="1"/>
      <c r="GR1537" s="1"/>
      <c r="GS1537" s="1"/>
      <c r="GT1537" s="1"/>
      <c r="GU1537" s="1"/>
      <c r="GV1537" s="1"/>
      <c r="GW1537" s="1"/>
      <c r="GX1537" s="1"/>
      <c r="GY1537" s="1"/>
      <c r="GZ1537" s="1"/>
      <c r="HA1537" s="1"/>
      <c r="HB1537" s="1"/>
      <c r="HC1537" s="1"/>
      <c r="HD1537" s="1"/>
      <c r="HE1537" s="1"/>
      <c r="HF1537" s="1"/>
      <c r="HG1537" s="1"/>
      <c r="HH1537" s="1"/>
    </row>
    <row r="1538" spans="1:216" x14ac:dyDescent="0.3">
      <c r="A1538" s="3"/>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c r="FN1538" s="1"/>
      <c r="FO1538" s="1"/>
      <c r="FP1538" s="1"/>
      <c r="FQ1538" s="1"/>
      <c r="FR1538" s="1"/>
      <c r="FS1538" s="1"/>
      <c r="FT1538" s="1"/>
      <c r="FU1538" s="1"/>
      <c r="FV1538" s="1"/>
      <c r="FW1538" s="1"/>
      <c r="FX1538" s="1"/>
      <c r="FY1538" s="1"/>
      <c r="FZ1538" s="1"/>
      <c r="GA1538" s="1"/>
      <c r="GB1538" s="1"/>
      <c r="GC1538" s="1"/>
      <c r="GD1538" s="1"/>
      <c r="GE1538" s="1"/>
      <c r="GF1538" s="1"/>
      <c r="GG1538" s="1"/>
      <c r="GH1538" s="1"/>
      <c r="GI1538" s="1"/>
      <c r="GJ1538" s="1"/>
      <c r="GK1538" s="1"/>
      <c r="GL1538" s="1"/>
      <c r="GM1538" s="1"/>
      <c r="GN1538" s="1"/>
      <c r="GO1538" s="1"/>
      <c r="GP1538" s="1"/>
      <c r="GQ1538" s="1"/>
      <c r="GR1538" s="1"/>
      <c r="GS1538" s="1"/>
      <c r="GT1538" s="1"/>
      <c r="GU1538" s="1"/>
      <c r="GV1538" s="1"/>
      <c r="GW1538" s="1"/>
      <c r="GX1538" s="1"/>
      <c r="GY1538" s="1"/>
      <c r="GZ1538" s="1"/>
      <c r="HA1538" s="1"/>
      <c r="HB1538" s="1"/>
      <c r="HC1538" s="1"/>
      <c r="HD1538" s="1"/>
      <c r="HE1538" s="1"/>
      <c r="HF1538" s="1"/>
      <c r="HG1538" s="1"/>
      <c r="HH1538" s="1"/>
    </row>
    <row r="1539" spans="1:216" x14ac:dyDescent="0.3">
      <c r="A1539" s="3"/>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c r="FN1539" s="1"/>
      <c r="FO1539" s="1"/>
      <c r="FP1539" s="1"/>
      <c r="FQ1539" s="1"/>
      <c r="FR1539" s="1"/>
      <c r="FS1539" s="1"/>
      <c r="FT1539" s="1"/>
      <c r="FU1539" s="1"/>
      <c r="FV1539" s="1"/>
      <c r="FW1539" s="1"/>
      <c r="FX1539" s="1"/>
      <c r="FY1539" s="1"/>
      <c r="FZ1539" s="1"/>
      <c r="GA1539" s="1"/>
      <c r="GB1539" s="1"/>
      <c r="GC1539" s="1"/>
      <c r="GD1539" s="1"/>
      <c r="GE1539" s="1"/>
      <c r="GF1539" s="1"/>
      <c r="GG1539" s="1"/>
      <c r="GH1539" s="1"/>
      <c r="GI1539" s="1"/>
      <c r="GJ1539" s="1"/>
      <c r="GK1539" s="1"/>
      <c r="GL1539" s="1"/>
      <c r="GM1539" s="1"/>
      <c r="GN1539" s="1"/>
      <c r="GO1539" s="1"/>
      <c r="GP1539" s="1"/>
      <c r="GQ1539" s="1"/>
      <c r="GR1539" s="1"/>
      <c r="GS1539" s="1"/>
      <c r="GT1539" s="1"/>
      <c r="GU1539" s="1"/>
      <c r="GV1539" s="1"/>
      <c r="GW1539" s="1"/>
      <c r="GX1539" s="1"/>
      <c r="GY1539" s="1"/>
      <c r="GZ1539" s="1"/>
      <c r="HA1539" s="1"/>
      <c r="HB1539" s="1"/>
      <c r="HC1539" s="1"/>
      <c r="HD1539" s="1"/>
      <c r="HE1539" s="1"/>
      <c r="HF1539" s="1"/>
      <c r="HG1539" s="1"/>
      <c r="HH1539" s="1"/>
    </row>
    <row r="1540" spans="1:216" x14ac:dyDescent="0.3">
      <c r="A1540" s="3"/>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c r="FN1540" s="1"/>
      <c r="FO1540" s="1"/>
      <c r="FP1540" s="1"/>
      <c r="FQ1540" s="1"/>
      <c r="FR1540" s="1"/>
      <c r="FS1540" s="1"/>
      <c r="FT1540" s="1"/>
      <c r="FU1540" s="1"/>
      <c r="FV1540" s="1"/>
      <c r="FW1540" s="1"/>
      <c r="FX1540" s="1"/>
      <c r="FY1540" s="1"/>
      <c r="FZ1540" s="1"/>
      <c r="GA1540" s="1"/>
      <c r="GB1540" s="1"/>
      <c r="GC1540" s="1"/>
      <c r="GD1540" s="1"/>
      <c r="GE1540" s="1"/>
      <c r="GF1540" s="1"/>
      <c r="GG1540" s="1"/>
      <c r="GH1540" s="1"/>
      <c r="GI1540" s="1"/>
      <c r="GJ1540" s="1"/>
      <c r="GK1540" s="1"/>
      <c r="GL1540" s="1"/>
      <c r="GM1540" s="1"/>
      <c r="GN1540" s="1"/>
      <c r="GO1540" s="1"/>
      <c r="GP1540" s="1"/>
      <c r="GQ1540" s="1"/>
      <c r="GR1540" s="1"/>
      <c r="GS1540" s="1"/>
      <c r="GT1540" s="1"/>
      <c r="GU1540" s="1"/>
      <c r="GV1540" s="1"/>
      <c r="GW1540" s="1"/>
      <c r="GX1540" s="1"/>
      <c r="GY1540" s="1"/>
      <c r="GZ1540" s="1"/>
      <c r="HA1540" s="1"/>
      <c r="HB1540" s="1"/>
      <c r="HC1540" s="1"/>
      <c r="HD1540" s="1"/>
      <c r="HE1540" s="1"/>
      <c r="HF1540" s="1"/>
      <c r="HG1540" s="1"/>
      <c r="HH1540" s="1"/>
    </row>
    <row r="1541" spans="1:216" x14ac:dyDescent="0.3">
      <c r="A1541" s="3"/>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c r="GL1541" s="1"/>
      <c r="GM1541" s="1"/>
      <c r="GN1541" s="1"/>
      <c r="GO1541" s="1"/>
      <c r="GP1541" s="1"/>
      <c r="GQ1541" s="1"/>
      <c r="GR1541" s="1"/>
      <c r="GS1541" s="1"/>
      <c r="GT1541" s="1"/>
      <c r="GU1541" s="1"/>
      <c r="GV1541" s="1"/>
      <c r="GW1541" s="1"/>
      <c r="GX1541" s="1"/>
      <c r="GY1541" s="1"/>
      <c r="GZ1541" s="1"/>
      <c r="HA1541" s="1"/>
      <c r="HB1541" s="1"/>
      <c r="HC1541" s="1"/>
      <c r="HD1541" s="1"/>
      <c r="HE1541" s="1"/>
      <c r="HF1541" s="1"/>
      <c r="HG1541" s="1"/>
      <c r="HH1541" s="1"/>
    </row>
    <row r="1542" spans="1:216" x14ac:dyDescent="0.3">
      <c r="A1542" s="3"/>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c r="GL1542" s="1"/>
      <c r="GM1542" s="1"/>
      <c r="GN1542" s="1"/>
      <c r="GO1542" s="1"/>
      <c r="GP1542" s="1"/>
      <c r="GQ1542" s="1"/>
      <c r="GR1542" s="1"/>
      <c r="GS1542" s="1"/>
      <c r="GT1542" s="1"/>
      <c r="GU1542" s="1"/>
      <c r="GV1542" s="1"/>
      <c r="GW1542" s="1"/>
      <c r="GX1542" s="1"/>
      <c r="GY1542" s="1"/>
      <c r="GZ1542" s="1"/>
      <c r="HA1542" s="1"/>
      <c r="HB1542" s="1"/>
      <c r="HC1542" s="1"/>
      <c r="HD1542" s="1"/>
      <c r="HE1542" s="1"/>
      <c r="HF1542" s="1"/>
      <c r="HG1542" s="1"/>
      <c r="HH1542" s="1"/>
    </row>
    <row r="1543" spans="1:216" x14ac:dyDescent="0.3">
      <c r="A1543" s="3"/>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c r="FN1543" s="1"/>
      <c r="FO1543" s="1"/>
      <c r="FP1543" s="1"/>
      <c r="FQ1543" s="1"/>
      <c r="FR1543" s="1"/>
      <c r="FS1543" s="1"/>
      <c r="FT1543" s="1"/>
      <c r="FU1543" s="1"/>
      <c r="FV1543" s="1"/>
      <c r="FW1543" s="1"/>
      <c r="FX1543" s="1"/>
      <c r="FY1543" s="1"/>
      <c r="FZ1543" s="1"/>
      <c r="GA1543" s="1"/>
      <c r="GB1543" s="1"/>
      <c r="GC1543" s="1"/>
      <c r="GD1543" s="1"/>
      <c r="GE1543" s="1"/>
      <c r="GF1543" s="1"/>
      <c r="GG1543" s="1"/>
      <c r="GH1543" s="1"/>
      <c r="GI1543" s="1"/>
      <c r="GJ1543" s="1"/>
      <c r="GK1543" s="1"/>
      <c r="GL1543" s="1"/>
      <c r="GM1543" s="1"/>
      <c r="GN1543" s="1"/>
      <c r="GO1543" s="1"/>
      <c r="GP1543" s="1"/>
      <c r="GQ1543" s="1"/>
      <c r="GR1543" s="1"/>
      <c r="GS1543" s="1"/>
      <c r="GT1543" s="1"/>
      <c r="GU1543" s="1"/>
      <c r="GV1543" s="1"/>
      <c r="GW1543" s="1"/>
      <c r="GX1543" s="1"/>
      <c r="GY1543" s="1"/>
      <c r="GZ1543" s="1"/>
      <c r="HA1543" s="1"/>
      <c r="HB1543" s="1"/>
      <c r="HC1543" s="1"/>
      <c r="HD1543" s="1"/>
      <c r="HE1543" s="1"/>
      <c r="HF1543" s="1"/>
      <c r="HG1543" s="1"/>
      <c r="HH1543" s="1"/>
    </row>
    <row r="1544" spans="1:216" x14ac:dyDescent="0.3">
      <c r="A1544" s="3"/>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c r="FS1544" s="1"/>
      <c r="FT1544" s="1"/>
      <c r="FU1544" s="1"/>
      <c r="FV1544" s="1"/>
      <c r="FW1544" s="1"/>
      <c r="FX1544" s="1"/>
      <c r="FY1544" s="1"/>
      <c r="FZ1544" s="1"/>
      <c r="GA1544" s="1"/>
      <c r="GB1544" s="1"/>
      <c r="GC1544" s="1"/>
      <c r="GD1544" s="1"/>
      <c r="GE1544" s="1"/>
      <c r="GF1544" s="1"/>
      <c r="GG1544" s="1"/>
      <c r="GH1544" s="1"/>
      <c r="GI1544" s="1"/>
      <c r="GJ1544" s="1"/>
      <c r="GK1544" s="1"/>
      <c r="GL1544" s="1"/>
      <c r="GM1544" s="1"/>
      <c r="GN1544" s="1"/>
      <c r="GO1544" s="1"/>
      <c r="GP1544" s="1"/>
      <c r="GQ1544" s="1"/>
      <c r="GR1544" s="1"/>
      <c r="GS1544" s="1"/>
      <c r="GT1544" s="1"/>
      <c r="GU1544" s="1"/>
      <c r="GV1544" s="1"/>
      <c r="GW1544" s="1"/>
      <c r="GX1544" s="1"/>
      <c r="GY1544" s="1"/>
      <c r="GZ1544" s="1"/>
      <c r="HA1544" s="1"/>
      <c r="HB1544" s="1"/>
      <c r="HC1544" s="1"/>
      <c r="HD1544" s="1"/>
      <c r="HE1544" s="1"/>
      <c r="HF1544" s="1"/>
      <c r="HG1544" s="1"/>
      <c r="HH1544" s="1"/>
    </row>
    <row r="1545" spans="1:216" x14ac:dyDescent="0.3">
      <c r="A1545" s="3"/>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c r="FN1545" s="1"/>
      <c r="FO1545" s="1"/>
      <c r="FP1545" s="1"/>
      <c r="FQ1545" s="1"/>
      <c r="FR1545" s="1"/>
      <c r="FS1545" s="1"/>
      <c r="FT1545" s="1"/>
      <c r="FU1545" s="1"/>
      <c r="FV1545" s="1"/>
      <c r="FW1545" s="1"/>
      <c r="FX1545" s="1"/>
      <c r="FY1545" s="1"/>
      <c r="FZ1545" s="1"/>
      <c r="GA1545" s="1"/>
      <c r="GB1545" s="1"/>
      <c r="GC1545" s="1"/>
      <c r="GD1545" s="1"/>
      <c r="GE1545" s="1"/>
      <c r="GF1545" s="1"/>
      <c r="GG1545" s="1"/>
      <c r="GH1545" s="1"/>
      <c r="GI1545" s="1"/>
      <c r="GJ1545" s="1"/>
      <c r="GK1545" s="1"/>
      <c r="GL1545" s="1"/>
      <c r="GM1545" s="1"/>
      <c r="GN1545" s="1"/>
      <c r="GO1545" s="1"/>
      <c r="GP1545" s="1"/>
      <c r="GQ1545" s="1"/>
      <c r="GR1545" s="1"/>
      <c r="GS1545" s="1"/>
      <c r="GT1545" s="1"/>
      <c r="GU1545" s="1"/>
      <c r="GV1545" s="1"/>
      <c r="GW1545" s="1"/>
      <c r="GX1545" s="1"/>
      <c r="GY1545" s="1"/>
      <c r="GZ1545" s="1"/>
      <c r="HA1545" s="1"/>
      <c r="HB1545" s="1"/>
      <c r="HC1545" s="1"/>
      <c r="HD1545" s="1"/>
      <c r="HE1545" s="1"/>
      <c r="HF1545" s="1"/>
      <c r="HG1545" s="1"/>
      <c r="HH1545" s="1"/>
    </row>
    <row r="1546" spans="1:216" x14ac:dyDescent="0.3">
      <c r="A1546" s="3"/>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c r="FN1546" s="1"/>
      <c r="FO1546" s="1"/>
      <c r="FP1546" s="1"/>
      <c r="FQ1546" s="1"/>
      <c r="FR1546" s="1"/>
      <c r="FS1546" s="1"/>
      <c r="FT1546" s="1"/>
      <c r="FU1546" s="1"/>
      <c r="FV1546" s="1"/>
      <c r="FW1546" s="1"/>
      <c r="FX1546" s="1"/>
      <c r="FY1546" s="1"/>
      <c r="FZ1546" s="1"/>
      <c r="GA1546" s="1"/>
      <c r="GB1546" s="1"/>
      <c r="GC1546" s="1"/>
      <c r="GD1546" s="1"/>
      <c r="GE1546" s="1"/>
      <c r="GF1546" s="1"/>
      <c r="GG1546" s="1"/>
      <c r="GH1546" s="1"/>
      <c r="GI1546" s="1"/>
      <c r="GJ1546" s="1"/>
      <c r="GK1546" s="1"/>
      <c r="GL1546" s="1"/>
      <c r="GM1546" s="1"/>
      <c r="GN1546" s="1"/>
      <c r="GO1546" s="1"/>
      <c r="GP1546" s="1"/>
      <c r="GQ1546" s="1"/>
      <c r="GR1546" s="1"/>
      <c r="GS1546" s="1"/>
      <c r="GT1546" s="1"/>
      <c r="GU1546" s="1"/>
      <c r="GV1546" s="1"/>
      <c r="GW1546" s="1"/>
      <c r="GX1546" s="1"/>
      <c r="GY1546" s="1"/>
      <c r="GZ1546" s="1"/>
      <c r="HA1546" s="1"/>
      <c r="HB1546" s="1"/>
      <c r="HC1546" s="1"/>
      <c r="HD1546" s="1"/>
      <c r="HE1546" s="1"/>
      <c r="HF1546" s="1"/>
      <c r="HG1546" s="1"/>
      <c r="HH1546" s="1"/>
    </row>
    <row r="1547" spans="1:216" x14ac:dyDescent="0.3">
      <c r="A1547" s="3"/>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c r="FN1547" s="1"/>
      <c r="FO1547" s="1"/>
      <c r="FP1547" s="1"/>
      <c r="FQ1547" s="1"/>
      <c r="FR1547" s="1"/>
      <c r="FS1547" s="1"/>
      <c r="FT1547" s="1"/>
      <c r="FU1547" s="1"/>
      <c r="FV1547" s="1"/>
      <c r="FW1547" s="1"/>
      <c r="FX1547" s="1"/>
      <c r="FY1547" s="1"/>
      <c r="FZ1547" s="1"/>
      <c r="GA1547" s="1"/>
      <c r="GB1547" s="1"/>
      <c r="GC1547" s="1"/>
      <c r="GD1547" s="1"/>
      <c r="GE1547" s="1"/>
      <c r="GF1547" s="1"/>
      <c r="GG1547" s="1"/>
      <c r="GH1547" s="1"/>
      <c r="GI1547" s="1"/>
      <c r="GJ1547" s="1"/>
      <c r="GK1547" s="1"/>
      <c r="GL1547" s="1"/>
      <c r="GM1547" s="1"/>
      <c r="GN1547" s="1"/>
      <c r="GO1547" s="1"/>
      <c r="GP1547" s="1"/>
      <c r="GQ1547" s="1"/>
      <c r="GR1547" s="1"/>
      <c r="GS1547" s="1"/>
      <c r="GT1547" s="1"/>
      <c r="GU1547" s="1"/>
      <c r="GV1547" s="1"/>
      <c r="GW1547" s="1"/>
      <c r="GX1547" s="1"/>
      <c r="GY1547" s="1"/>
      <c r="GZ1547" s="1"/>
      <c r="HA1547" s="1"/>
      <c r="HB1547" s="1"/>
      <c r="HC1547" s="1"/>
      <c r="HD1547" s="1"/>
      <c r="HE1547" s="1"/>
      <c r="HF1547" s="1"/>
      <c r="HG1547" s="1"/>
      <c r="HH1547" s="1"/>
    </row>
    <row r="1548" spans="1:216" x14ac:dyDescent="0.3">
      <c r="A1548" s="3"/>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c r="FN1548" s="1"/>
      <c r="FO1548" s="1"/>
      <c r="FP1548" s="1"/>
      <c r="FQ1548" s="1"/>
      <c r="FR1548" s="1"/>
      <c r="FS1548" s="1"/>
      <c r="FT1548" s="1"/>
      <c r="FU1548" s="1"/>
      <c r="FV1548" s="1"/>
      <c r="FW1548" s="1"/>
      <c r="FX1548" s="1"/>
      <c r="FY1548" s="1"/>
      <c r="FZ1548" s="1"/>
      <c r="GA1548" s="1"/>
      <c r="GB1548" s="1"/>
      <c r="GC1548" s="1"/>
      <c r="GD1548" s="1"/>
      <c r="GE1548" s="1"/>
      <c r="GF1548" s="1"/>
      <c r="GG1548" s="1"/>
      <c r="GH1548" s="1"/>
      <c r="GI1548" s="1"/>
      <c r="GJ1548" s="1"/>
      <c r="GK1548" s="1"/>
      <c r="GL1548" s="1"/>
      <c r="GM1548" s="1"/>
      <c r="GN1548" s="1"/>
      <c r="GO1548" s="1"/>
      <c r="GP1548" s="1"/>
      <c r="GQ1548" s="1"/>
      <c r="GR1548" s="1"/>
      <c r="GS1548" s="1"/>
      <c r="GT1548" s="1"/>
      <c r="GU1548" s="1"/>
      <c r="GV1548" s="1"/>
      <c r="GW1548" s="1"/>
      <c r="GX1548" s="1"/>
      <c r="GY1548" s="1"/>
      <c r="GZ1548" s="1"/>
      <c r="HA1548" s="1"/>
      <c r="HB1548" s="1"/>
      <c r="HC1548" s="1"/>
      <c r="HD1548" s="1"/>
      <c r="HE1548" s="1"/>
      <c r="HF1548" s="1"/>
      <c r="HG1548" s="1"/>
      <c r="HH1548" s="1"/>
    </row>
    <row r="1549" spans="1:216" x14ac:dyDescent="0.3">
      <c r="A1549" s="3"/>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c r="FN1549" s="1"/>
      <c r="FO1549" s="1"/>
      <c r="FP1549" s="1"/>
      <c r="FQ1549" s="1"/>
      <c r="FR1549" s="1"/>
      <c r="FS1549" s="1"/>
      <c r="FT1549" s="1"/>
      <c r="FU1549" s="1"/>
      <c r="FV1549" s="1"/>
      <c r="FW1549" s="1"/>
      <c r="FX1549" s="1"/>
      <c r="FY1549" s="1"/>
      <c r="FZ1549" s="1"/>
      <c r="GA1549" s="1"/>
      <c r="GB1549" s="1"/>
      <c r="GC1549" s="1"/>
      <c r="GD1549" s="1"/>
      <c r="GE1549" s="1"/>
      <c r="GF1549" s="1"/>
      <c r="GG1549" s="1"/>
      <c r="GH1549" s="1"/>
      <c r="GI1549" s="1"/>
      <c r="GJ1549" s="1"/>
      <c r="GK1549" s="1"/>
      <c r="GL1549" s="1"/>
      <c r="GM1549" s="1"/>
      <c r="GN1549" s="1"/>
      <c r="GO1549" s="1"/>
      <c r="GP1549" s="1"/>
      <c r="GQ1549" s="1"/>
      <c r="GR1549" s="1"/>
      <c r="GS1549" s="1"/>
      <c r="GT1549" s="1"/>
      <c r="GU1549" s="1"/>
      <c r="GV1549" s="1"/>
      <c r="GW1549" s="1"/>
      <c r="GX1549" s="1"/>
      <c r="GY1549" s="1"/>
      <c r="GZ1549" s="1"/>
      <c r="HA1549" s="1"/>
      <c r="HB1549" s="1"/>
      <c r="HC1549" s="1"/>
      <c r="HD1549" s="1"/>
      <c r="HE1549" s="1"/>
      <c r="HF1549" s="1"/>
      <c r="HG1549" s="1"/>
      <c r="HH1549" s="1"/>
    </row>
    <row r="1550" spans="1:216" x14ac:dyDescent="0.3">
      <c r="A1550" s="3"/>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c r="GL1550" s="1"/>
      <c r="GM1550" s="1"/>
      <c r="GN1550" s="1"/>
      <c r="GO1550" s="1"/>
      <c r="GP1550" s="1"/>
      <c r="GQ1550" s="1"/>
      <c r="GR1550" s="1"/>
      <c r="GS1550" s="1"/>
      <c r="GT1550" s="1"/>
      <c r="GU1550" s="1"/>
      <c r="GV1550" s="1"/>
      <c r="GW1550" s="1"/>
      <c r="GX1550" s="1"/>
      <c r="GY1550" s="1"/>
      <c r="GZ1550" s="1"/>
      <c r="HA1550" s="1"/>
      <c r="HB1550" s="1"/>
      <c r="HC1550" s="1"/>
      <c r="HD1550" s="1"/>
      <c r="HE1550" s="1"/>
      <c r="HF1550" s="1"/>
      <c r="HG1550" s="1"/>
      <c r="HH1550" s="1"/>
    </row>
    <row r="1551" spans="1:216" x14ac:dyDescent="0.3">
      <c r="A1551" s="3"/>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c r="FN1551" s="1"/>
      <c r="FO1551" s="1"/>
      <c r="FP1551" s="1"/>
      <c r="FQ1551" s="1"/>
      <c r="FR1551" s="1"/>
      <c r="FS1551" s="1"/>
      <c r="FT1551" s="1"/>
      <c r="FU1551" s="1"/>
      <c r="FV1551" s="1"/>
      <c r="FW1551" s="1"/>
      <c r="FX1551" s="1"/>
      <c r="FY1551" s="1"/>
      <c r="FZ1551" s="1"/>
      <c r="GA1551" s="1"/>
      <c r="GB1551" s="1"/>
      <c r="GC1551" s="1"/>
      <c r="GD1551" s="1"/>
      <c r="GE1551" s="1"/>
      <c r="GF1551" s="1"/>
      <c r="GG1551" s="1"/>
      <c r="GH1551" s="1"/>
      <c r="GI1551" s="1"/>
      <c r="GJ1551" s="1"/>
      <c r="GK1551" s="1"/>
      <c r="GL1551" s="1"/>
      <c r="GM1551" s="1"/>
      <c r="GN1551" s="1"/>
      <c r="GO1551" s="1"/>
      <c r="GP1551" s="1"/>
      <c r="GQ1551" s="1"/>
      <c r="GR1551" s="1"/>
      <c r="GS1551" s="1"/>
      <c r="GT1551" s="1"/>
      <c r="GU1551" s="1"/>
      <c r="GV1551" s="1"/>
      <c r="GW1551" s="1"/>
      <c r="GX1551" s="1"/>
      <c r="GY1551" s="1"/>
      <c r="GZ1551" s="1"/>
      <c r="HA1551" s="1"/>
      <c r="HB1551" s="1"/>
      <c r="HC1551" s="1"/>
      <c r="HD1551" s="1"/>
      <c r="HE1551" s="1"/>
      <c r="HF1551" s="1"/>
      <c r="HG1551" s="1"/>
      <c r="HH1551" s="1"/>
    </row>
    <row r="1552" spans="1:216" x14ac:dyDescent="0.3">
      <c r="A1552" s="3"/>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c r="FN1552" s="1"/>
      <c r="FO1552" s="1"/>
      <c r="FP1552" s="1"/>
      <c r="FQ1552" s="1"/>
      <c r="FR1552" s="1"/>
      <c r="FS1552" s="1"/>
      <c r="FT1552" s="1"/>
      <c r="FU1552" s="1"/>
      <c r="FV1552" s="1"/>
      <c r="FW1552" s="1"/>
      <c r="FX1552" s="1"/>
      <c r="FY1552" s="1"/>
      <c r="FZ1552" s="1"/>
      <c r="GA1552" s="1"/>
      <c r="GB1552" s="1"/>
      <c r="GC1552" s="1"/>
      <c r="GD1552" s="1"/>
      <c r="GE1552" s="1"/>
      <c r="GF1552" s="1"/>
      <c r="GG1552" s="1"/>
      <c r="GH1552" s="1"/>
      <c r="GI1552" s="1"/>
      <c r="GJ1552" s="1"/>
      <c r="GK1552" s="1"/>
      <c r="GL1552" s="1"/>
      <c r="GM1552" s="1"/>
      <c r="GN1552" s="1"/>
      <c r="GO1552" s="1"/>
      <c r="GP1552" s="1"/>
      <c r="GQ1552" s="1"/>
      <c r="GR1552" s="1"/>
      <c r="GS1552" s="1"/>
      <c r="GT1552" s="1"/>
      <c r="GU1552" s="1"/>
      <c r="GV1552" s="1"/>
      <c r="GW1552" s="1"/>
      <c r="GX1552" s="1"/>
      <c r="GY1552" s="1"/>
      <c r="GZ1552" s="1"/>
      <c r="HA1552" s="1"/>
      <c r="HB1552" s="1"/>
      <c r="HC1552" s="1"/>
      <c r="HD1552" s="1"/>
      <c r="HE1552" s="1"/>
      <c r="HF1552" s="1"/>
      <c r="HG1552" s="1"/>
      <c r="HH1552" s="1"/>
    </row>
    <row r="1553" spans="1:216" x14ac:dyDescent="0.3">
      <c r="A1553" s="3"/>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c r="FN1553" s="1"/>
      <c r="FO1553" s="1"/>
      <c r="FP1553" s="1"/>
      <c r="FQ1553" s="1"/>
      <c r="FR1553" s="1"/>
      <c r="FS1553" s="1"/>
      <c r="FT1553" s="1"/>
      <c r="FU1553" s="1"/>
      <c r="FV1553" s="1"/>
      <c r="FW1553" s="1"/>
      <c r="FX1553" s="1"/>
      <c r="FY1553" s="1"/>
      <c r="FZ1553" s="1"/>
      <c r="GA1553" s="1"/>
      <c r="GB1553" s="1"/>
      <c r="GC1553" s="1"/>
      <c r="GD1553" s="1"/>
      <c r="GE1553" s="1"/>
      <c r="GF1553" s="1"/>
      <c r="GG1553" s="1"/>
      <c r="GH1553" s="1"/>
      <c r="GI1553" s="1"/>
      <c r="GJ1553" s="1"/>
      <c r="GK1553" s="1"/>
      <c r="GL1553" s="1"/>
      <c r="GM1553" s="1"/>
      <c r="GN1553" s="1"/>
      <c r="GO1553" s="1"/>
      <c r="GP1553" s="1"/>
      <c r="GQ1553" s="1"/>
      <c r="GR1553" s="1"/>
      <c r="GS1553" s="1"/>
      <c r="GT1553" s="1"/>
      <c r="GU1553" s="1"/>
      <c r="GV1553" s="1"/>
      <c r="GW1553" s="1"/>
      <c r="GX1553" s="1"/>
      <c r="GY1553" s="1"/>
      <c r="GZ1553" s="1"/>
      <c r="HA1553" s="1"/>
      <c r="HB1553" s="1"/>
      <c r="HC1553" s="1"/>
      <c r="HD1553" s="1"/>
      <c r="HE1553" s="1"/>
      <c r="HF1553" s="1"/>
      <c r="HG1553" s="1"/>
      <c r="HH1553" s="1"/>
    </row>
    <row r="1554" spans="1:216" x14ac:dyDescent="0.3">
      <c r="A1554" s="3"/>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c r="EF1554" s="1"/>
      <c r="EG1554" s="1"/>
      <c r="EH1554" s="1"/>
      <c r="EI1554" s="1"/>
      <c r="EJ1554" s="1"/>
      <c r="EK1554" s="1"/>
      <c r="EL1554" s="1"/>
      <c r="EM1554" s="1"/>
      <c r="EN1554" s="1"/>
      <c r="EO1554" s="1"/>
      <c r="EP1554" s="1"/>
      <c r="EQ1554" s="1"/>
      <c r="ER1554" s="1"/>
      <c r="ES1554" s="1"/>
      <c r="ET1554" s="1"/>
      <c r="EU1554" s="1"/>
      <c r="EV1554" s="1"/>
      <c r="EW1554" s="1"/>
      <c r="EX1554" s="1"/>
      <c r="EY1554" s="1"/>
      <c r="EZ1554" s="1"/>
      <c r="FA1554" s="1"/>
      <c r="FB1554" s="1"/>
      <c r="FC1554" s="1"/>
      <c r="FD1554" s="1"/>
      <c r="FE1554" s="1"/>
      <c r="FF1554" s="1"/>
      <c r="FG1554" s="1"/>
      <c r="FH1554" s="1"/>
      <c r="FI1554" s="1"/>
      <c r="FJ1554" s="1"/>
      <c r="FK1554" s="1"/>
      <c r="FL1554" s="1"/>
      <c r="FM1554" s="1"/>
      <c r="FN1554" s="1"/>
      <c r="FO1554" s="1"/>
      <c r="FP1554" s="1"/>
      <c r="FQ1554" s="1"/>
      <c r="FR1554" s="1"/>
      <c r="FS1554" s="1"/>
      <c r="FT1554" s="1"/>
      <c r="FU1554" s="1"/>
      <c r="FV1554" s="1"/>
      <c r="FW1554" s="1"/>
      <c r="FX1554" s="1"/>
      <c r="FY1554" s="1"/>
      <c r="FZ1554" s="1"/>
      <c r="GA1554" s="1"/>
      <c r="GB1554" s="1"/>
      <c r="GC1554" s="1"/>
      <c r="GD1554" s="1"/>
      <c r="GE1554" s="1"/>
      <c r="GF1554" s="1"/>
      <c r="GG1554" s="1"/>
      <c r="GH1554" s="1"/>
      <c r="GI1554" s="1"/>
      <c r="GJ1554" s="1"/>
      <c r="GK1554" s="1"/>
      <c r="GL1554" s="1"/>
      <c r="GM1554" s="1"/>
      <c r="GN1554" s="1"/>
      <c r="GO1554" s="1"/>
      <c r="GP1554" s="1"/>
      <c r="GQ1554" s="1"/>
      <c r="GR1554" s="1"/>
      <c r="GS1554" s="1"/>
      <c r="GT1554" s="1"/>
      <c r="GU1554" s="1"/>
      <c r="GV1554" s="1"/>
      <c r="GW1554" s="1"/>
      <c r="GX1554" s="1"/>
      <c r="GY1554" s="1"/>
      <c r="GZ1554" s="1"/>
      <c r="HA1554" s="1"/>
      <c r="HB1554" s="1"/>
      <c r="HC1554" s="1"/>
      <c r="HD1554" s="1"/>
      <c r="HE1554" s="1"/>
      <c r="HF1554" s="1"/>
      <c r="HG1554" s="1"/>
      <c r="HH1554" s="1"/>
    </row>
    <row r="1555" spans="1:216" x14ac:dyDescent="0.3">
      <c r="A1555" s="3"/>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c r="EF1555" s="1"/>
      <c r="EG1555" s="1"/>
      <c r="EH1555" s="1"/>
      <c r="EI1555" s="1"/>
      <c r="EJ1555" s="1"/>
      <c r="EK1555" s="1"/>
      <c r="EL1555" s="1"/>
      <c r="EM1555" s="1"/>
      <c r="EN1555" s="1"/>
      <c r="EO1555" s="1"/>
      <c r="EP1555" s="1"/>
      <c r="EQ1555" s="1"/>
      <c r="ER1555" s="1"/>
      <c r="ES1555" s="1"/>
      <c r="ET1555" s="1"/>
      <c r="EU1555" s="1"/>
      <c r="EV1555" s="1"/>
      <c r="EW1555" s="1"/>
      <c r="EX1555" s="1"/>
      <c r="EY1555" s="1"/>
      <c r="EZ1555" s="1"/>
      <c r="FA1555" s="1"/>
      <c r="FB1555" s="1"/>
      <c r="FC1555" s="1"/>
      <c r="FD1555" s="1"/>
      <c r="FE1555" s="1"/>
      <c r="FF1555" s="1"/>
      <c r="FG1555" s="1"/>
      <c r="FH1555" s="1"/>
      <c r="FI1555" s="1"/>
      <c r="FJ1555" s="1"/>
      <c r="FK1555" s="1"/>
      <c r="FL1555" s="1"/>
      <c r="FM1555" s="1"/>
      <c r="FN1555" s="1"/>
      <c r="FO1555" s="1"/>
      <c r="FP1555" s="1"/>
      <c r="FQ1555" s="1"/>
      <c r="FR1555" s="1"/>
      <c r="FS1555" s="1"/>
      <c r="FT1555" s="1"/>
      <c r="FU1555" s="1"/>
      <c r="FV1555" s="1"/>
      <c r="FW1555" s="1"/>
      <c r="FX1555" s="1"/>
      <c r="FY1555" s="1"/>
      <c r="FZ1555" s="1"/>
      <c r="GA1555" s="1"/>
      <c r="GB1555" s="1"/>
      <c r="GC1555" s="1"/>
      <c r="GD1555" s="1"/>
      <c r="GE1555" s="1"/>
      <c r="GF1555" s="1"/>
      <c r="GG1555" s="1"/>
      <c r="GH1555" s="1"/>
      <c r="GI1555" s="1"/>
      <c r="GJ1555" s="1"/>
      <c r="GK1555" s="1"/>
      <c r="GL1555" s="1"/>
      <c r="GM1555" s="1"/>
      <c r="GN1555" s="1"/>
      <c r="GO1555" s="1"/>
      <c r="GP1555" s="1"/>
      <c r="GQ1555" s="1"/>
      <c r="GR1555" s="1"/>
      <c r="GS1555" s="1"/>
      <c r="GT1555" s="1"/>
      <c r="GU1555" s="1"/>
      <c r="GV1555" s="1"/>
      <c r="GW1555" s="1"/>
      <c r="GX1555" s="1"/>
      <c r="GY1555" s="1"/>
      <c r="GZ1555" s="1"/>
      <c r="HA1555" s="1"/>
      <c r="HB1555" s="1"/>
      <c r="HC1555" s="1"/>
      <c r="HD1555" s="1"/>
      <c r="HE1555" s="1"/>
      <c r="HF1555" s="1"/>
      <c r="HG1555" s="1"/>
      <c r="HH1555" s="1"/>
    </row>
    <row r="1556" spans="1:216" x14ac:dyDescent="0.3">
      <c r="A1556" s="3"/>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c r="FN1556" s="1"/>
      <c r="FO1556" s="1"/>
      <c r="FP1556" s="1"/>
      <c r="FQ1556" s="1"/>
      <c r="FR1556" s="1"/>
      <c r="FS1556" s="1"/>
      <c r="FT1556" s="1"/>
      <c r="FU1556" s="1"/>
      <c r="FV1556" s="1"/>
      <c r="FW1556" s="1"/>
      <c r="FX1556" s="1"/>
      <c r="FY1556" s="1"/>
      <c r="FZ1556" s="1"/>
      <c r="GA1556" s="1"/>
      <c r="GB1556" s="1"/>
      <c r="GC1556" s="1"/>
      <c r="GD1556" s="1"/>
      <c r="GE1556" s="1"/>
      <c r="GF1556" s="1"/>
      <c r="GG1556" s="1"/>
      <c r="GH1556" s="1"/>
      <c r="GI1556" s="1"/>
      <c r="GJ1556" s="1"/>
      <c r="GK1556" s="1"/>
      <c r="GL1556" s="1"/>
      <c r="GM1556" s="1"/>
      <c r="GN1556" s="1"/>
      <c r="GO1556" s="1"/>
      <c r="GP1556" s="1"/>
      <c r="GQ1556" s="1"/>
      <c r="GR1556" s="1"/>
      <c r="GS1556" s="1"/>
      <c r="GT1556" s="1"/>
      <c r="GU1556" s="1"/>
      <c r="GV1556" s="1"/>
      <c r="GW1556" s="1"/>
      <c r="GX1556" s="1"/>
      <c r="GY1556" s="1"/>
      <c r="GZ1556" s="1"/>
      <c r="HA1556" s="1"/>
      <c r="HB1556" s="1"/>
      <c r="HC1556" s="1"/>
      <c r="HD1556" s="1"/>
      <c r="HE1556" s="1"/>
      <c r="HF1556" s="1"/>
      <c r="HG1556" s="1"/>
      <c r="HH1556" s="1"/>
    </row>
    <row r="1557" spans="1:216" x14ac:dyDescent="0.3">
      <c r="A1557" s="3"/>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c r="FN1557" s="1"/>
      <c r="FO1557" s="1"/>
      <c r="FP1557" s="1"/>
      <c r="FQ1557" s="1"/>
      <c r="FR1557" s="1"/>
      <c r="FS1557" s="1"/>
      <c r="FT1557" s="1"/>
      <c r="FU1557" s="1"/>
      <c r="FV1557" s="1"/>
      <c r="FW1557" s="1"/>
      <c r="FX1557" s="1"/>
      <c r="FY1557" s="1"/>
      <c r="FZ1557" s="1"/>
      <c r="GA1557" s="1"/>
      <c r="GB1557" s="1"/>
      <c r="GC1557" s="1"/>
      <c r="GD1557" s="1"/>
      <c r="GE1557" s="1"/>
      <c r="GF1557" s="1"/>
      <c r="GG1557" s="1"/>
      <c r="GH1557" s="1"/>
      <c r="GI1557" s="1"/>
      <c r="GJ1557" s="1"/>
      <c r="GK1557" s="1"/>
      <c r="GL1557" s="1"/>
      <c r="GM1557" s="1"/>
      <c r="GN1557" s="1"/>
      <c r="GO1557" s="1"/>
      <c r="GP1557" s="1"/>
      <c r="GQ1557" s="1"/>
      <c r="GR1557" s="1"/>
      <c r="GS1557" s="1"/>
      <c r="GT1557" s="1"/>
      <c r="GU1557" s="1"/>
      <c r="GV1557" s="1"/>
      <c r="GW1557" s="1"/>
      <c r="GX1557" s="1"/>
      <c r="GY1557" s="1"/>
      <c r="GZ1557" s="1"/>
      <c r="HA1557" s="1"/>
      <c r="HB1557" s="1"/>
      <c r="HC1557" s="1"/>
      <c r="HD1557" s="1"/>
      <c r="HE1557" s="1"/>
      <c r="HF1557" s="1"/>
      <c r="HG1557" s="1"/>
      <c r="HH1557" s="1"/>
    </row>
    <row r="1558" spans="1:216" x14ac:dyDescent="0.3">
      <c r="A1558" s="3"/>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c r="GL1558" s="1"/>
      <c r="GM1558" s="1"/>
      <c r="GN1558" s="1"/>
      <c r="GO1558" s="1"/>
      <c r="GP1558" s="1"/>
      <c r="GQ1558" s="1"/>
      <c r="GR1558" s="1"/>
      <c r="GS1558" s="1"/>
      <c r="GT1558" s="1"/>
      <c r="GU1558" s="1"/>
      <c r="GV1558" s="1"/>
      <c r="GW1558" s="1"/>
      <c r="GX1558" s="1"/>
      <c r="GY1558" s="1"/>
      <c r="GZ1558" s="1"/>
      <c r="HA1558" s="1"/>
      <c r="HB1558" s="1"/>
      <c r="HC1558" s="1"/>
      <c r="HD1558" s="1"/>
      <c r="HE1558" s="1"/>
      <c r="HF1558" s="1"/>
      <c r="HG1558" s="1"/>
      <c r="HH1558" s="1"/>
    </row>
    <row r="1559" spans="1:216" x14ac:dyDescent="0.3">
      <c r="A1559" s="3"/>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c r="EF1559" s="1"/>
      <c r="EG1559" s="1"/>
      <c r="EH1559" s="1"/>
      <c r="EI1559" s="1"/>
      <c r="EJ1559" s="1"/>
      <c r="EK1559" s="1"/>
      <c r="EL1559" s="1"/>
      <c r="EM1559" s="1"/>
      <c r="EN1559" s="1"/>
      <c r="EO1559" s="1"/>
      <c r="EP1559" s="1"/>
      <c r="EQ1559" s="1"/>
      <c r="ER1559" s="1"/>
      <c r="ES1559" s="1"/>
      <c r="ET1559" s="1"/>
      <c r="EU1559" s="1"/>
      <c r="EV1559" s="1"/>
      <c r="EW1559" s="1"/>
      <c r="EX1559" s="1"/>
      <c r="EY1559" s="1"/>
      <c r="EZ1559" s="1"/>
      <c r="FA1559" s="1"/>
      <c r="FB1559" s="1"/>
      <c r="FC1559" s="1"/>
      <c r="FD1559" s="1"/>
      <c r="FE1559" s="1"/>
      <c r="FF1559" s="1"/>
      <c r="FG1559" s="1"/>
      <c r="FH1559" s="1"/>
      <c r="FI1559" s="1"/>
      <c r="FJ1559" s="1"/>
      <c r="FK1559" s="1"/>
      <c r="FL1559" s="1"/>
      <c r="FM1559" s="1"/>
      <c r="FN1559" s="1"/>
      <c r="FO1559" s="1"/>
      <c r="FP1559" s="1"/>
      <c r="FQ1559" s="1"/>
      <c r="FR1559" s="1"/>
      <c r="FS1559" s="1"/>
      <c r="FT1559" s="1"/>
      <c r="FU1559" s="1"/>
      <c r="FV1559" s="1"/>
      <c r="FW1559" s="1"/>
      <c r="FX1559" s="1"/>
      <c r="FY1559" s="1"/>
      <c r="FZ1559" s="1"/>
      <c r="GA1559" s="1"/>
      <c r="GB1559" s="1"/>
      <c r="GC1559" s="1"/>
      <c r="GD1559" s="1"/>
      <c r="GE1559" s="1"/>
      <c r="GF1559" s="1"/>
      <c r="GG1559" s="1"/>
      <c r="GH1559" s="1"/>
      <c r="GI1559" s="1"/>
      <c r="GJ1559" s="1"/>
      <c r="GK1559" s="1"/>
      <c r="GL1559" s="1"/>
      <c r="GM1559" s="1"/>
      <c r="GN1559" s="1"/>
      <c r="GO1559" s="1"/>
      <c r="GP1559" s="1"/>
      <c r="GQ1559" s="1"/>
      <c r="GR1559" s="1"/>
      <c r="GS1559" s="1"/>
      <c r="GT1559" s="1"/>
      <c r="GU1559" s="1"/>
      <c r="GV1559" s="1"/>
      <c r="GW1559" s="1"/>
      <c r="GX1559" s="1"/>
      <c r="GY1559" s="1"/>
      <c r="GZ1559" s="1"/>
      <c r="HA1559" s="1"/>
      <c r="HB1559" s="1"/>
      <c r="HC1559" s="1"/>
      <c r="HD1559" s="1"/>
      <c r="HE1559" s="1"/>
      <c r="HF1559" s="1"/>
      <c r="HG1559" s="1"/>
      <c r="HH1559" s="1"/>
    </row>
    <row r="1560" spans="1:216" x14ac:dyDescent="0.3">
      <c r="A1560" s="3"/>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c r="FN1560" s="1"/>
      <c r="FO1560" s="1"/>
      <c r="FP1560" s="1"/>
      <c r="FQ1560" s="1"/>
      <c r="FR1560" s="1"/>
      <c r="FS1560" s="1"/>
      <c r="FT1560" s="1"/>
      <c r="FU1560" s="1"/>
      <c r="FV1560" s="1"/>
      <c r="FW1560" s="1"/>
      <c r="FX1560" s="1"/>
      <c r="FY1560" s="1"/>
      <c r="FZ1560" s="1"/>
      <c r="GA1560" s="1"/>
      <c r="GB1560" s="1"/>
      <c r="GC1560" s="1"/>
      <c r="GD1560" s="1"/>
      <c r="GE1560" s="1"/>
      <c r="GF1560" s="1"/>
      <c r="GG1560" s="1"/>
      <c r="GH1560" s="1"/>
      <c r="GI1560" s="1"/>
      <c r="GJ1560" s="1"/>
      <c r="GK1560" s="1"/>
      <c r="GL1560" s="1"/>
      <c r="GM1560" s="1"/>
      <c r="GN1560" s="1"/>
      <c r="GO1560" s="1"/>
      <c r="GP1560" s="1"/>
      <c r="GQ1560" s="1"/>
      <c r="GR1560" s="1"/>
      <c r="GS1560" s="1"/>
      <c r="GT1560" s="1"/>
      <c r="GU1560" s="1"/>
      <c r="GV1560" s="1"/>
      <c r="GW1560" s="1"/>
      <c r="GX1560" s="1"/>
      <c r="GY1560" s="1"/>
      <c r="GZ1560" s="1"/>
      <c r="HA1560" s="1"/>
      <c r="HB1560" s="1"/>
      <c r="HC1560" s="1"/>
      <c r="HD1560" s="1"/>
      <c r="HE1560" s="1"/>
      <c r="HF1560" s="1"/>
      <c r="HG1560" s="1"/>
      <c r="HH1560" s="1"/>
    </row>
    <row r="1561" spans="1:216" x14ac:dyDescent="0.3">
      <c r="A1561" s="3"/>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c r="EF1561" s="1"/>
      <c r="EG1561" s="1"/>
      <c r="EH1561" s="1"/>
      <c r="EI1561" s="1"/>
      <c r="EJ1561" s="1"/>
      <c r="EK1561" s="1"/>
      <c r="EL1561" s="1"/>
      <c r="EM1561" s="1"/>
      <c r="EN1561" s="1"/>
      <c r="EO1561" s="1"/>
      <c r="EP1561" s="1"/>
      <c r="EQ1561" s="1"/>
      <c r="ER1561" s="1"/>
      <c r="ES1561" s="1"/>
      <c r="ET1561" s="1"/>
      <c r="EU1561" s="1"/>
      <c r="EV1561" s="1"/>
      <c r="EW1561" s="1"/>
      <c r="EX1561" s="1"/>
      <c r="EY1561" s="1"/>
      <c r="EZ1561" s="1"/>
      <c r="FA1561" s="1"/>
      <c r="FB1561" s="1"/>
      <c r="FC1561" s="1"/>
      <c r="FD1561" s="1"/>
      <c r="FE1561" s="1"/>
      <c r="FF1561" s="1"/>
      <c r="FG1561" s="1"/>
      <c r="FH1561" s="1"/>
      <c r="FI1561" s="1"/>
      <c r="FJ1561" s="1"/>
      <c r="FK1561" s="1"/>
      <c r="FL1561" s="1"/>
      <c r="FM1561" s="1"/>
      <c r="FN1561" s="1"/>
      <c r="FO1561" s="1"/>
      <c r="FP1561" s="1"/>
      <c r="FQ1561" s="1"/>
      <c r="FR1561" s="1"/>
      <c r="FS1561" s="1"/>
      <c r="FT1561" s="1"/>
      <c r="FU1561" s="1"/>
      <c r="FV1561" s="1"/>
      <c r="FW1561" s="1"/>
      <c r="FX1561" s="1"/>
      <c r="FY1561" s="1"/>
      <c r="FZ1561" s="1"/>
      <c r="GA1561" s="1"/>
      <c r="GB1561" s="1"/>
      <c r="GC1561" s="1"/>
      <c r="GD1561" s="1"/>
      <c r="GE1561" s="1"/>
      <c r="GF1561" s="1"/>
      <c r="GG1561" s="1"/>
      <c r="GH1561" s="1"/>
      <c r="GI1561" s="1"/>
      <c r="GJ1561" s="1"/>
      <c r="GK1561" s="1"/>
      <c r="GL1561" s="1"/>
      <c r="GM1561" s="1"/>
      <c r="GN1561" s="1"/>
      <c r="GO1561" s="1"/>
      <c r="GP1561" s="1"/>
      <c r="GQ1561" s="1"/>
      <c r="GR1561" s="1"/>
      <c r="GS1561" s="1"/>
      <c r="GT1561" s="1"/>
      <c r="GU1561" s="1"/>
      <c r="GV1561" s="1"/>
      <c r="GW1561" s="1"/>
      <c r="GX1561" s="1"/>
      <c r="GY1561" s="1"/>
      <c r="GZ1561" s="1"/>
      <c r="HA1561" s="1"/>
      <c r="HB1561" s="1"/>
      <c r="HC1561" s="1"/>
      <c r="HD1561" s="1"/>
      <c r="HE1561" s="1"/>
      <c r="HF1561" s="1"/>
      <c r="HG1561" s="1"/>
      <c r="HH1561" s="1"/>
    </row>
    <row r="1562" spans="1:216" x14ac:dyDescent="0.3">
      <c r="A1562" s="3"/>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c r="FN1562" s="1"/>
      <c r="FO1562" s="1"/>
      <c r="FP1562" s="1"/>
      <c r="FQ1562" s="1"/>
      <c r="FR1562" s="1"/>
      <c r="FS1562" s="1"/>
      <c r="FT1562" s="1"/>
      <c r="FU1562" s="1"/>
      <c r="FV1562" s="1"/>
      <c r="FW1562" s="1"/>
      <c r="FX1562" s="1"/>
      <c r="FY1562" s="1"/>
      <c r="FZ1562" s="1"/>
      <c r="GA1562" s="1"/>
      <c r="GB1562" s="1"/>
      <c r="GC1562" s="1"/>
      <c r="GD1562" s="1"/>
      <c r="GE1562" s="1"/>
      <c r="GF1562" s="1"/>
      <c r="GG1562" s="1"/>
      <c r="GH1562" s="1"/>
      <c r="GI1562" s="1"/>
      <c r="GJ1562" s="1"/>
      <c r="GK1562" s="1"/>
      <c r="GL1562" s="1"/>
      <c r="GM1562" s="1"/>
      <c r="GN1562" s="1"/>
      <c r="GO1562" s="1"/>
      <c r="GP1562" s="1"/>
      <c r="GQ1562" s="1"/>
      <c r="GR1562" s="1"/>
      <c r="GS1562" s="1"/>
      <c r="GT1562" s="1"/>
      <c r="GU1562" s="1"/>
      <c r="GV1562" s="1"/>
      <c r="GW1562" s="1"/>
      <c r="GX1562" s="1"/>
      <c r="GY1562" s="1"/>
      <c r="GZ1562" s="1"/>
      <c r="HA1562" s="1"/>
      <c r="HB1562" s="1"/>
      <c r="HC1562" s="1"/>
      <c r="HD1562" s="1"/>
      <c r="HE1562" s="1"/>
      <c r="HF1562" s="1"/>
      <c r="HG1562" s="1"/>
      <c r="HH1562" s="1"/>
    </row>
    <row r="1563" spans="1:216" x14ac:dyDescent="0.3">
      <c r="A1563" s="3"/>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c r="EF1563" s="1"/>
      <c r="EG1563" s="1"/>
      <c r="EH1563" s="1"/>
      <c r="EI1563" s="1"/>
      <c r="EJ1563" s="1"/>
      <c r="EK1563" s="1"/>
      <c r="EL1563" s="1"/>
      <c r="EM1563" s="1"/>
      <c r="EN1563" s="1"/>
      <c r="EO1563" s="1"/>
      <c r="EP1563" s="1"/>
      <c r="EQ1563" s="1"/>
      <c r="ER1563" s="1"/>
      <c r="ES1563" s="1"/>
      <c r="ET1563" s="1"/>
      <c r="EU1563" s="1"/>
      <c r="EV1563" s="1"/>
      <c r="EW1563" s="1"/>
      <c r="EX1563" s="1"/>
      <c r="EY1563" s="1"/>
      <c r="EZ1563" s="1"/>
      <c r="FA1563" s="1"/>
      <c r="FB1563" s="1"/>
      <c r="FC1563" s="1"/>
      <c r="FD1563" s="1"/>
      <c r="FE1563" s="1"/>
      <c r="FF1563" s="1"/>
      <c r="FG1563" s="1"/>
      <c r="FH1563" s="1"/>
      <c r="FI1563" s="1"/>
      <c r="FJ1563" s="1"/>
      <c r="FK1563" s="1"/>
      <c r="FL1563" s="1"/>
      <c r="FM1563" s="1"/>
      <c r="FN1563" s="1"/>
      <c r="FO1563" s="1"/>
      <c r="FP1563" s="1"/>
      <c r="FQ1563" s="1"/>
      <c r="FR1563" s="1"/>
      <c r="FS1563" s="1"/>
      <c r="FT1563" s="1"/>
      <c r="FU1563" s="1"/>
      <c r="FV1563" s="1"/>
      <c r="FW1563" s="1"/>
      <c r="FX1563" s="1"/>
      <c r="FY1563" s="1"/>
      <c r="FZ1563" s="1"/>
      <c r="GA1563" s="1"/>
      <c r="GB1563" s="1"/>
      <c r="GC1563" s="1"/>
      <c r="GD1563" s="1"/>
      <c r="GE1563" s="1"/>
      <c r="GF1563" s="1"/>
      <c r="GG1563" s="1"/>
      <c r="GH1563" s="1"/>
      <c r="GI1563" s="1"/>
      <c r="GJ1563" s="1"/>
      <c r="GK1563" s="1"/>
      <c r="GL1563" s="1"/>
      <c r="GM1563" s="1"/>
      <c r="GN1563" s="1"/>
      <c r="GO1563" s="1"/>
      <c r="GP1563" s="1"/>
      <c r="GQ1563" s="1"/>
      <c r="GR1563" s="1"/>
      <c r="GS1563" s="1"/>
      <c r="GT1563" s="1"/>
      <c r="GU1563" s="1"/>
      <c r="GV1563" s="1"/>
      <c r="GW1563" s="1"/>
      <c r="GX1563" s="1"/>
      <c r="GY1563" s="1"/>
      <c r="GZ1563" s="1"/>
      <c r="HA1563" s="1"/>
      <c r="HB1563" s="1"/>
      <c r="HC1563" s="1"/>
      <c r="HD1563" s="1"/>
      <c r="HE1563" s="1"/>
      <c r="HF1563" s="1"/>
      <c r="HG1563" s="1"/>
      <c r="HH1563" s="1"/>
    </row>
    <row r="1564" spans="1:216" x14ac:dyDescent="0.3">
      <c r="A1564" s="3"/>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c r="GL1564" s="1"/>
      <c r="GM1564" s="1"/>
      <c r="GN1564" s="1"/>
      <c r="GO1564" s="1"/>
      <c r="GP1564" s="1"/>
      <c r="GQ1564" s="1"/>
      <c r="GR1564" s="1"/>
      <c r="GS1564" s="1"/>
      <c r="GT1564" s="1"/>
      <c r="GU1564" s="1"/>
      <c r="GV1564" s="1"/>
      <c r="GW1564" s="1"/>
      <c r="GX1564" s="1"/>
      <c r="GY1564" s="1"/>
      <c r="GZ1564" s="1"/>
      <c r="HA1564" s="1"/>
      <c r="HB1564" s="1"/>
      <c r="HC1564" s="1"/>
      <c r="HD1564" s="1"/>
      <c r="HE1564" s="1"/>
      <c r="HF1564" s="1"/>
      <c r="HG1564" s="1"/>
      <c r="HH1564" s="1"/>
    </row>
    <row r="1565" spans="1:216" x14ac:dyDescent="0.3">
      <c r="A1565" s="3"/>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c r="EF1565" s="1"/>
      <c r="EG1565" s="1"/>
      <c r="EH1565" s="1"/>
      <c r="EI1565" s="1"/>
      <c r="EJ1565" s="1"/>
      <c r="EK1565" s="1"/>
      <c r="EL1565" s="1"/>
      <c r="EM1565" s="1"/>
      <c r="EN1565" s="1"/>
      <c r="EO1565" s="1"/>
      <c r="EP1565" s="1"/>
      <c r="EQ1565" s="1"/>
      <c r="ER1565" s="1"/>
      <c r="ES1565" s="1"/>
      <c r="ET1565" s="1"/>
      <c r="EU1565" s="1"/>
      <c r="EV1565" s="1"/>
      <c r="EW1565" s="1"/>
      <c r="EX1565" s="1"/>
      <c r="EY1565" s="1"/>
      <c r="EZ1565" s="1"/>
      <c r="FA1565" s="1"/>
      <c r="FB1565" s="1"/>
      <c r="FC1565" s="1"/>
      <c r="FD1565" s="1"/>
      <c r="FE1565" s="1"/>
      <c r="FF1565" s="1"/>
      <c r="FG1565" s="1"/>
      <c r="FH1565" s="1"/>
      <c r="FI1565" s="1"/>
      <c r="FJ1565" s="1"/>
      <c r="FK1565" s="1"/>
      <c r="FL1565" s="1"/>
      <c r="FM1565" s="1"/>
      <c r="FN1565" s="1"/>
      <c r="FO1565" s="1"/>
      <c r="FP1565" s="1"/>
      <c r="FQ1565" s="1"/>
      <c r="FR1565" s="1"/>
      <c r="FS1565" s="1"/>
      <c r="FT1565" s="1"/>
      <c r="FU1565" s="1"/>
      <c r="FV1565" s="1"/>
      <c r="FW1565" s="1"/>
      <c r="FX1565" s="1"/>
      <c r="FY1565" s="1"/>
      <c r="FZ1565" s="1"/>
      <c r="GA1565" s="1"/>
      <c r="GB1565" s="1"/>
      <c r="GC1565" s="1"/>
      <c r="GD1565" s="1"/>
      <c r="GE1565" s="1"/>
      <c r="GF1565" s="1"/>
      <c r="GG1565" s="1"/>
      <c r="GH1565" s="1"/>
      <c r="GI1565" s="1"/>
      <c r="GJ1565" s="1"/>
      <c r="GK1565" s="1"/>
      <c r="GL1565" s="1"/>
      <c r="GM1565" s="1"/>
      <c r="GN1565" s="1"/>
      <c r="GO1565" s="1"/>
      <c r="GP1565" s="1"/>
      <c r="GQ1565" s="1"/>
      <c r="GR1565" s="1"/>
      <c r="GS1565" s="1"/>
      <c r="GT1565" s="1"/>
      <c r="GU1565" s="1"/>
      <c r="GV1565" s="1"/>
      <c r="GW1565" s="1"/>
      <c r="GX1565" s="1"/>
      <c r="GY1565" s="1"/>
      <c r="GZ1565" s="1"/>
      <c r="HA1565" s="1"/>
      <c r="HB1565" s="1"/>
      <c r="HC1565" s="1"/>
      <c r="HD1565" s="1"/>
      <c r="HE1565" s="1"/>
      <c r="HF1565" s="1"/>
      <c r="HG1565" s="1"/>
      <c r="HH1565" s="1"/>
    </row>
    <row r="1566" spans="1:216" x14ac:dyDescent="0.3">
      <c r="A1566" s="3"/>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c r="FN1566" s="1"/>
      <c r="FO1566" s="1"/>
      <c r="FP1566" s="1"/>
      <c r="FQ1566" s="1"/>
      <c r="FR1566" s="1"/>
      <c r="FS1566" s="1"/>
      <c r="FT1566" s="1"/>
      <c r="FU1566" s="1"/>
      <c r="FV1566" s="1"/>
      <c r="FW1566" s="1"/>
      <c r="FX1566" s="1"/>
      <c r="FY1566" s="1"/>
      <c r="FZ1566" s="1"/>
      <c r="GA1566" s="1"/>
      <c r="GB1566" s="1"/>
      <c r="GC1566" s="1"/>
      <c r="GD1566" s="1"/>
      <c r="GE1566" s="1"/>
      <c r="GF1566" s="1"/>
      <c r="GG1566" s="1"/>
      <c r="GH1566" s="1"/>
      <c r="GI1566" s="1"/>
      <c r="GJ1566" s="1"/>
      <c r="GK1566" s="1"/>
      <c r="GL1566" s="1"/>
      <c r="GM1566" s="1"/>
      <c r="GN1566" s="1"/>
      <c r="GO1566" s="1"/>
      <c r="GP1566" s="1"/>
      <c r="GQ1566" s="1"/>
      <c r="GR1566" s="1"/>
      <c r="GS1566" s="1"/>
      <c r="GT1566" s="1"/>
      <c r="GU1566" s="1"/>
      <c r="GV1566" s="1"/>
      <c r="GW1566" s="1"/>
      <c r="GX1566" s="1"/>
      <c r="GY1566" s="1"/>
      <c r="GZ1566" s="1"/>
      <c r="HA1566" s="1"/>
      <c r="HB1566" s="1"/>
      <c r="HC1566" s="1"/>
      <c r="HD1566" s="1"/>
      <c r="HE1566" s="1"/>
      <c r="HF1566" s="1"/>
      <c r="HG1566" s="1"/>
      <c r="HH1566" s="1"/>
    </row>
    <row r="1567" spans="1:216" x14ac:dyDescent="0.3">
      <c r="A1567" s="3"/>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c r="EF1567" s="1"/>
      <c r="EG1567" s="1"/>
      <c r="EH1567" s="1"/>
      <c r="EI1567" s="1"/>
      <c r="EJ1567" s="1"/>
      <c r="EK1567" s="1"/>
      <c r="EL1567" s="1"/>
      <c r="EM1567" s="1"/>
      <c r="EN1567" s="1"/>
      <c r="EO1567" s="1"/>
      <c r="EP1567" s="1"/>
      <c r="EQ1567" s="1"/>
      <c r="ER1567" s="1"/>
      <c r="ES1567" s="1"/>
      <c r="ET1567" s="1"/>
      <c r="EU1567" s="1"/>
      <c r="EV1567" s="1"/>
      <c r="EW1567" s="1"/>
      <c r="EX1567" s="1"/>
      <c r="EY1567" s="1"/>
      <c r="EZ1567" s="1"/>
      <c r="FA1567" s="1"/>
      <c r="FB1567" s="1"/>
      <c r="FC1567" s="1"/>
      <c r="FD1567" s="1"/>
      <c r="FE1567" s="1"/>
      <c r="FF1567" s="1"/>
      <c r="FG1567" s="1"/>
      <c r="FH1567" s="1"/>
      <c r="FI1567" s="1"/>
      <c r="FJ1567" s="1"/>
      <c r="FK1567" s="1"/>
      <c r="FL1567" s="1"/>
      <c r="FM1567" s="1"/>
      <c r="FN1567" s="1"/>
      <c r="FO1567" s="1"/>
      <c r="FP1567" s="1"/>
      <c r="FQ1567" s="1"/>
      <c r="FR1567" s="1"/>
      <c r="FS1567" s="1"/>
      <c r="FT1567" s="1"/>
      <c r="FU1567" s="1"/>
      <c r="FV1567" s="1"/>
      <c r="FW1567" s="1"/>
      <c r="FX1567" s="1"/>
      <c r="FY1567" s="1"/>
      <c r="FZ1567" s="1"/>
      <c r="GA1567" s="1"/>
      <c r="GB1567" s="1"/>
      <c r="GC1567" s="1"/>
      <c r="GD1567" s="1"/>
      <c r="GE1567" s="1"/>
      <c r="GF1567" s="1"/>
      <c r="GG1567" s="1"/>
      <c r="GH1567" s="1"/>
      <c r="GI1567" s="1"/>
      <c r="GJ1567" s="1"/>
      <c r="GK1567" s="1"/>
      <c r="GL1567" s="1"/>
      <c r="GM1567" s="1"/>
      <c r="GN1567" s="1"/>
      <c r="GO1567" s="1"/>
      <c r="GP1567" s="1"/>
      <c r="GQ1567" s="1"/>
      <c r="GR1567" s="1"/>
      <c r="GS1567" s="1"/>
      <c r="GT1567" s="1"/>
      <c r="GU1567" s="1"/>
      <c r="GV1567" s="1"/>
      <c r="GW1567" s="1"/>
      <c r="GX1567" s="1"/>
      <c r="GY1567" s="1"/>
      <c r="GZ1567" s="1"/>
      <c r="HA1567" s="1"/>
      <c r="HB1567" s="1"/>
      <c r="HC1567" s="1"/>
      <c r="HD1567" s="1"/>
      <c r="HE1567" s="1"/>
      <c r="HF1567" s="1"/>
      <c r="HG1567" s="1"/>
      <c r="HH1567" s="1"/>
    </row>
    <row r="1568" spans="1:216" x14ac:dyDescent="0.3">
      <c r="A1568" s="3"/>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c r="FN1568" s="1"/>
      <c r="FO1568" s="1"/>
      <c r="FP1568" s="1"/>
      <c r="FQ1568" s="1"/>
      <c r="FR1568" s="1"/>
      <c r="FS1568" s="1"/>
      <c r="FT1568" s="1"/>
      <c r="FU1568" s="1"/>
      <c r="FV1568" s="1"/>
      <c r="FW1568" s="1"/>
      <c r="FX1568" s="1"/>
      <c r="FY1568" s="1"/>
      <c r="FZ1568" s="1"/>
      <c r="GA1568" s="1"/>
      <c r="GB1568" s="1"/>
      <c r="GC1568" s="1"/>
      <c r="GD1568" s="1"/>
      <c r="GE1568" s="1"/>
      <c r="GF1568" s="1"/>
      <c r="GG1568" s="1"/>
      <c r="GH1568" s="1"/>
      <c r="GI1568" s="1"/>
      <c r="GJ1568" s="1"/>
      <c r="GK1568" s="1"/>
      <c r="GL1568" s="1"/>
      <c r="GM1568" s="1"/>
      <c r="GN1568" s="1"/>
      <c r="GO1568" s="1"/>
      <c r="GP1568" s="1"/>
      <c r="GQ1568" s="1"/>
      <c r="GR1568" s="1"/>
      <c r="GS1568" s="1"/>
      <c r="GT1568" s="1"/>
      <c r="GU1568" s="1"/>
      <c r="GV1568" s="1"/>
      <c r="GW1568" s="1"/>
      <c r="GX1568" s="1"/>
      <c r="GY1568" s="1"/>
      <c r="GZ1568" s="1"/>
      <c r="HA1568" s="1"/>
      <c r="HB1568" s="1"/>
      <c r="HC1568" s="1"/>
      <c r="HD1568" s="1"/>
      <c r="HE1568" s="1"/>
      <c r="HF1568" s="1"/>
      <c r="HG1568" s="1"/>
      <c r="HH1568" s="1"/>
    </row>
    <row r="1569" spans="1:216" x14ac:dyDescent="0.3">
      <c r="A1569" s="3"/>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c r="EF1569" s="1"/>
      <c r="EG1569" s="1"/>
      <c r="EH1569" s="1"/>
      <c r="EI1569" s="1"/>
      <c r="EJ1569" s="1"/>
      <c r="EK1569" s="1"/>
      <c r="EL1569" s="1"/>
      <c r="EM1569" s="1"/>
      <c r="EN1569" s="1"/>
      <c r="EO1569" s="1"/>
      <c r="EP1569" s="1"/>
      <c r="EQ1569" s="1"/>
      <c r="ER1569" s="1"/>
      <c r="ES1569" s="1"/>
      <c r="ET1569" s="1"/>
      <c r="EU1569" s="1"/>
      <c r="EV1569" s="1"/>
      <c r="EW1569" s="1"/>
      <c r="EX1569" s="1"/>
      <c r="EY1569" s="1"/>
      <c r="EZ1569" s="1"/>
      <c r="FA1569" s="1"/>
      <c r="FB1569" s="1"/>
      <c r="FC1569" s="1"/>
      <c r="FD1569" s="1"/>
      <c r="FE1569" s="1"/>
      <c r="FF1569" s="1"/>
      <c r="FG1569" s="1"/>
      <c r="FH1569" s="1"/>
      <c r="FI1569" s="1"/>
      <c r="FJ1569" s="1"/>
      <c r="FK1569" s="1"/>
      <c r="FL1569" s="1"/>
      <c r="FM1569" s="1"/>
      <c r="FN1569" s="1"/>
      <c r="FO1569" s="1"/>
      <c r="FP1569" s="1"/>
      <c r="FQ1569" s="1"/>
      <c r="FR1569" s="1"/>
      <c r="FS1569" s="1"/>
      <c r="FT1569" s="1"/>
      <c r="FU1569" s="1"/>
      <c r="FV1569" s="1"/>
      <c r="FW1569" s="1"/>
      <c r="FX1569" s="1"/>
      <c r="FY1569" s="1"/>
      <c r="FZ1569" s="1"/>
      <c r="GA1569" s="1"/>
      <c r="GB1569" s="1"/>
      <c r="GC1569" s="1"/>
      <c r="GD1569" s="1"/>
      <c r="GE1569" s="1"/>
      <c r="GF1569" s="1"/>
      <c r="GG1569" s="1"/>
      <c r="GH1569" s="1"/>
      <c r="GI1569" s="1"/>
      <c r="GJ1569" s="1"/>
      <c r="GK1569" s="1"/>
      <c r="GL1569" s="1"/>
      <c r="GM1569" s="1"/>
      <c r="GN1569" s="1"/>
      <c r="GO1569" s="1"/>
      <c r="GP1569" s="1"/>
      <c r="GQ1569" s="1"/>
      <c r="GR1569" s="1"/>
      <c r="GS1569" s="1"/>
      <c r="GT1569" s="1"/>
      <c r="GU1569" s="1"/>
      <c r="GV1569" s="1"/>
      <c r="GW1569" s="1"/>
      <c r="GX1569" s="1"/>
      <c r="GY1569" s="1"/>
      <c r="GZ1569" s="1"/>
      <c r="HA1569" s="1"/>
      <c r="HB1569" s="1"/>
      <c r="HC1569" s="1"/>
      <c r="HD1569" s="1"/>
      <c r="HE1569" s="1"/>
      <c r="HF1569" s="1"/>
      <c r="HG1569" s="1"/>
      <c r="HH1569" s="1"/>
    </row>
    <row r="1570" spans="1:216" x14ac:dyDescent="0.3">
      <c r="A1570" s="3"/>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c r="FN1570" s="1"/>
      <c r="FO1570" s="1"/>
      <c r="FP1570" s="1"/>
      <c r="FQ1570" s="1"/>
      <c r="FR1570" s="1"/>
      <c r="FS1570" s="1"/>
      <c r="FT1570" s="1"/>
      <c r="FU1570" s="1"/>
      <c r="FV1570" s="1"/>
      <c r="FW1570" s="1"/>
      <c r="FX1570" s="1"/>
      <c r="FY1570" s="1"/>
      <c r="FZ1570" s="1"/>
      <c r="GA1570" s="1"/>
      <c r="GB1570" s="1"/>
      <c r="GC1570" s="1"/>
      <c r="GD1570" s="1"/>
      <c r="GE1570" s="1"/>
      <c r="GF1570" s="1"/>
      <c r="GG1570" s="1"/>
      <c r="GH1570" s="1"/>
      <c r="GI1570" s="1"/>
      <c r="GJ1570" s="1"/>
      <c r="GK1570" s="1"/>
      <c r="GL1570" s="1"/>
      <c r="GM1570" s="1"/>
      <c r="GN1570" s="1"/>
      <c r="GO1570" s="1"/>
      <c r="GP1570" s="1"/>
      <c r="GQ1570" s="1"/>
      <c r="GR1570" s="1"/>
      <c r="GS1570" s="1"/>
      <c r="GT1570" s="1"/>
      <c r="GU1570" s="1"/>
      <c r="GV1570" s="1"/>
      <c r="GW1570" s="1"/>
      <c r="GX1570" s="1"/>
      <c r="GY1570" s="1"/>
      <c r="GZ1570" s="1"/>
      <c r="HA1570" s="1"/>
      <c r="HB1570" s="1"/>
      <c r="HC1570" s="1"/>
      <c r="HD1570" s="1"/>
      <c r="HE1570" s="1"/>
      <c r="HF1570" s="1"/>
      <c r="HG1570" s="1"/>
      <c r="HH1570" s="1"/>
    </row>
    <row r="1571" spans="1:216" x14ac:dyDescent="0.3">
      <c r="A1571" s="3"/>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c r="GL1571" s="1"/>
      <c r="GM1571" s="1"/>
      <c r="GN1571" s="1"/>
      <c r="GO1571" s="1"/>
      <c r="GP1571" s="1"/>
      <c r="GQ1571" s="1"/>
      <c r="GR1571" s="1"/>
      <c r="GS1571" s="1"/>
      <c r="GT1571" s="1"/>
      <c r="GU1571" s="1"/>
      <c r="GV1571" s="1"/>
      <c r="GW1571" s="1"/>
      <c r="GX1571" s="1"/>
      <c r="GY1571" s="1"/>
      <c r="GZ1571" s="1"/>
      <c r="HA1571" s="1"/>
      <c r="HB1571" s="1"/>
      <c r="HC1571" s="1"/>
      <c r="HD1571" s="1"/>
      <c r="HE1571" s="1"/>
      <c r="HF1571" s="1"/>
      <c r="HG1571" s="1"/>
      <c r="HH1571" s="1"/>
    </row>
    <row r="1572" spans="1:216" x14ac:dyDescent="0.3">
      <c r="A1572" s="3"/>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c r="FN1572" s="1"/>
      <c r="FO1572" s="1"/>
      <c r="FP1572" s="1"/>
      <c r="FQ1572" s="1"/>
      <c r="FR1572" s="1"/>
      <c r="FS1572" s="1"/>
      <c r="FT1572" s="1"/>
      <c r="FU1572" s="1"/>
      <c r="FV1572" s="1"/>
      <c r="FW1572" s="1"/>
      <c r="FX1572" s="1"/>
      <c r="FY1572" s="1"/>
      <c r="FZ1572" s="1"/>
      <c r="GA1572" s="1"/>
      <c r="GB1572" s="1"/>
      <c r="GC1572" s="1"/>
      <c r="GD1572" s="1"/>
      <c r="GE1572" s="1"/>
      <c r="GF1572" s="1"/>
      <c r="GG1572" s="1"/>
      <c r="GH1572" s="1"/>
      <c r="GI1572" s="1"/>
      <c r="GJ1572" s="1"/>
      <c r="GK1572" s="1"/>
      <c r="GL1572" s="1"/>
      <c r="GM1572" s="1"/>
      <c r="GN1572" s="1"/>
      <c r="GO1572" s="1"/>
      <c r="GP1572" s="1"/>
      <c r="GQ1572" s="1"/>
      <c r="GR1572" s="1"/>
      <c r="GS1572" s="1"/>
      <c r="GT1572" s="1"/>
      <c r="GU1572" s="1"/>
      <c r="GV1572" s="1"/>
      <c r="GW1572" s="1"/>
      <c r="GX1572" s="1"/>
      <c r="GY1572" s="1"/>
      <c r="GZ1572" s="1"/>
      <c r="HA1572" s="1"/>
      <c r="HB1572" s="1"/>
      <c r="HC1572" s="1"/>
      <c r="HD1572" s="1"/>
      <c r="HE1572" s="1"/>
      <c r="HF1572" s="1"/>
      <c r="HG1572" s="1"/>
      <c r="HH1572" s="1"/>
    </row>
    <row r="1573" spans="1:216" x14ac:dyDescent="0.3">
      <c r="A1573" s="3"/>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c r="FN1573" s="1"/>
      <c r="FO1573" s="1"/>
      <c r="FP1573" s="1"/>
      <c r="FQ1573" s="1"/>
      <c r="FR1573" s="1"/>
      <c r="FS1573" s="1"/>
      <c r="FT1573" s="1"/>
      <c r="FU1573" s="1"/>
      <c r="FV1573" s="1"/>
      <c r="FW1573" s="1"/>
      <c r="FX1573" s="1"/>
      <c r="FY1573" s="1"/>
      <c r="FZ1573" s="1"/>
      <c r="GA1573" s="1"/>
      <c r="GB1573" s="1"/>
      <c r="GC1573" s="1"/>
      <c r="GD1573" s="1"/>
      <c r="GE1573" s="1"/>
      <c r="GF1573" s="1"/>
      <c r="GG1573" s="1"/>
      <c r="GH1573" s="1"/>
      <c r="GI1573" s="1"/>
      <c r="GJ1573" s="1"/>
      <c r="GK1573" s="1"/>
      <c r="GL1573" s="1"/>
      <c r="GM1573" s="1"/>
      <c r="GN1573" s="1"/>
      <c r="GO1573" s="1"/>
      <c r="GP1573" s="1"/>
      <c r="GQ1573" s="1"/>
      <c r="GR1573" s="1"/>
      <c r="GS1573" s="1"/>
      <c r="GT1573" s="1"/>
      <c r="GU1573" s="1"/>
      <c r="GV1573" s="1"/>
      <c r="GW1573" s="1"/>
      <c r="GX1573" s="1"/>
      <c r="GY1573" s="1"/>
      <c r="GZ1573" s="1"/>
      <c r="HA1573" s="1"/>
      <c r="HB1573" s="1"/>
      <c r="HC1573" s="1"/>
      <c r="HD1573" s="1"/>
      <c r="HE1573" s="1"/>
      <c r="HF1573" s="1"/>
      <c r="HG1573" s="1"/>
      <c r="HH1573" s="1"/>
    </row>
    <row r="1574" spans="1:216" x14ac:dyDescent="0.3">
      <c r="A1574" s="3"/>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c r="GL1574" s="1"/>
      <c r="GM1574" s="1"/>
      <c r="GN1574" s="1"/>
      <c r="GO1574" s="1"/>
      <c r="GP1574" s="1"/>
      <c r="GQ1574" s="1"/>
      <c r="GR1574" s="1"/>
      <c r="GS1574" s="1"/>
      <c r="GT1574" s="1"/>
      <c r="GU1574" s="1"/>
      <c r="GV1574" s="1"/>
      <c r="GW1574" s="1"/>
      <c r="GX1574" s="1"/>
      <c r="GY1574" s="1"/>
      <c r="GZ1574" s="1"/>
      <c r="HA1574" s="1"/>
      <c r="HB1574" s="1"/>
      <c r="HC1574" s="1"/>
      <c r="HD1574" s="1"/>
      <c r="HE1574" s="1"/>
      <c r="HF1574" s="1"/>
      <c r="HG1574" s="1"/>
      <c r="HH1574" s="1"/>
    </row>
    <row r="1575" spans="1:216" x14ac:dyDescent="0.3">
      <c r="A1575" s="3"/>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c r="GL1575" s="1"/>
      <c r="GM1575" s="1"/>
      <c r="GN1575" s="1"/>
      <c r="GO1575" s="1"/>
      <c r="GP1575" s="1"/>
      <c r="GQ1575" s="1"/>
      <c r="GR1575" s="1"/>
      <c r="GS1575" s="1"/>
      <c r="GT1575" s="1"/>
      <c r="GU1575" s="1"/>
      <c r="GV1575" s="1"/>
      <c r="GW1575" s="1"/>
      <c r="GX1575" s="1"/>
      <c r="GY1575" s="1"/>
      <c r="GZ1575" s="1"/>
      <c r="HA1575" s="1"/>
      <c r="HB1575" s="1"/>
      <c r="HC1575" s="1"/>
      <c r="HD1575" s="1"/>
      <c r="HE1575" s="1"/>
      <c r="HF1575" s="1"/>
      <c r="HG1575" s="1"/>
      <c r="HH1575" s="1"/>
    </row>
    <row r="1576" spans="1:216" x14ac:dyDescent="0.3">
      <c r="A1576" s="3"/>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c r="FN1576" s="1"/>
      <c r="FO1576" s="1"/>
      <c r="FP1576" s="1"/>
      <c r="FQ1576" s="1"/>
      <c r="FR1576" s="1"/>
      <c r="FS1576" s="1"/>
      <c r="FT1576" s="1"/>
      <c r="FU1576" s="1"/>
      <c r="FV1576" s="1"/>
      <c r="FW1576" s="1"/>
      <c r="FX1576" s="1"/>
      <c r="FY1576" s="1"/>
      <c r="FZ1576" s="1"/>
      <c r="GA1576" s="1"/>
      <c r="GB1576" s="1"/>
      <c r="GC1576" s="1"/>
      <c r="GD1576" s="1"/>
      <c r="GE1576" s="1"/>
      <c r="GF1576" s="1"/>
      <c r="GG1576" s="1"/>
      <c r="GH1576" s="1"/>
      <c r="GI1576" s="1"/>
      <c r="GJ1576" s="1"/>
      <c r="GK1576" s="1"/>
      <c r="GL1576" s="1"/>
      <c r="GM1576" s="1"/>
      <c r="GN1576" s="1"/>
      <c r="GO1576" s="1"/>
      <c r="GP1576" s="1"/>
      <c r="GQ1576" s="1"/>
      <c r="GR1576" s="1"/>
      <c r="GS1576" s="1"/>
      <c r="GT1576" s="1"/>
      <c r="GU1576" s="1"/>
      <c r="GV1576" s="1"/>
      <c r="GW1576" s="1"/>
      <c r="GX1576" s="1"/>
      <c r="GY1576" s="1"/>
      <c r="GZ1576" s="1"/>
      <c r="HA1576" s="1"/>
      <c r="HB1576" s="1"/>
      <c r="HC1576" s="1"/>
      <c r="HD1576" s="1"/>
      <c r="HE1576" s="1"/>
      <c r="HF1576" s="1"/>
      <c r="HG1576" s="1"/>
      <c r="HH1576" s="1"/>
    </row>
    <row r="1577" spans="1:216" x14ac:dyDescent="0.3">
      <c r="A1577" s="3"/>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c r="GL1577" s="1"/>
      <c r="GM1577" s="1"/>
      <c r="GN1577" s="1"/>
      <c r="GO1577" s="1"/>
      <c r="GP1577" s="1"/>
      <c r="GQ1577" s="1"/>
      <c r="GR1577" s="1"/>
      <c r="GS1577" s="1"/>
      <c r="GT1577" s="1"/>
      <c r="GU1577" s="1"/>
      <c r="GV1577" s="1"/>
      <c r="GW1577" s="1"/>
      <c r="GX1577" s="1"/>
      <c r="GY1577" s="1"/>
      <c r="GZ1577" s="1"/>
      <c r="HA1577" s="1"/>
      <c r="HB1577" s="1"/>
      <c r="HC1577" s="1"/>
      <c r="HD1577" s="1"/>
      <c r="HE1577" s="1"/>
      <c r="HF1577" s="1"/>
      <c r="HG1577" s="1"/>
      <c r="HH1577" s="1"/>
    </row>
    <row r="1578" spans="1:216" x14ac:dyDescent="0.3">
      <c r="A1578" s="3"/>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c r="GL1578" s="1"/>
      <c r="GM1578" s="1"/>
      <c r="GN1578" s="1"/>
      <c r="GO1578" s="1"/>
      <c r="GP1578" s="1"/>
      <c r="GQ1578" s="1"/>
      <c r="GR1578" s="1"/>
      <c r="GS1578" s="1"/>
      <c r="GT1578" s="1"/>
      <c r="GU1578" s="1"/>
      <c r="GV1578" s="1"/>
      <c r="GW1578" s="1"/>
      <c r="GX1578" s="1"/>
      <c r="GY1578" s="1"/>
      <c r="GZ1578" s="1"/>
      <c r="HA1578" s="1"/>
      <c r="HB1578" s="1"/>
      <c r="HC1578" s="1"/>
      <c r="HD1578" s="1"/>
      <c r="HE1578" s="1"/>
      <c r="HF1578" s="1"/>
      <c r="HG1578" s="1"/>
      <c r="HH1578" s="1"/>
    </row>
    <row r="1579" spans="1:216" x14ac:dyDescent="0.3">
      <c r="A1579" s="3"/>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c r="FN1579" s="1"/>
      <c r="FO1579" s="1"/>
      <c r="FP1579" s="1"/>
      <c r="FQ1579" s="1"/>
      <c r="FR1579" s="1"/>
      <c r="FS1579" s="1"/>
      <c r="FT1579" s="1"/>
      <c r="FU1579" s="1"/>
      <c r="FV1579" s="1"/>
      <c r="FW1579" s="1"/>
      <c r="FX1579" s="1"/>
      <c r="FY1579" s="1"/>
      <c r="FZ1579" s="1"/>
      <c r="GA1579" s="1"/>
      <c r="GB1579" s="1"/>
      <c r="GC1579" s="1"/>
      <c r="GD1579" s="1"/>
      <c r="GE1579" s="1"/>
      <c r="GF1579" s="1"/>
      <c r="GG1579" s="1"/>
      <c r="GH1579" s="1"/>
      <c r="GI1579" s="1"/>
      <c r="GJ1579" s="1"/>
      <c r="GK1579" s="1"/>
      <c r="GL1579" s="1"/>
      <c r="GM1579" s="1"/>
      <c r="GN1579" s="1"/>
      <c r="GO1579" s="1"/>
      <c r="GP1579" s="1"/>
      <c r="GQ1579" s="1"/>
      <c r="GR1579" s="1"/>
      <c r="GS1579" s="1"/>
      <c r="GT1579" s="1"/>
      <c r="GU1579" s="1"/>
      <c r="GV1579" s="1"/>
      <c r="GW1579" s="1"/>
      <c r="GX1579" s="1"/>
      <c r="GY1579" s="1"/>
      <c r="GZ1579" s="1"/>
      <c r="HA1579" s="1"/>
      <c r="HB1579" s="1"/>
      <c r="HC1579" s="1"/>
      <c r="HD1579" s="1"/>
      <c r="HE1579" s="1"/>
      <c r="HF1579" s="1"/>
      <c r="HG1579" s="1"/>
      <c r="HH1579" s="1"/>
    </row>
    <row r="1580" spans="1:216" x14ac:dyDescent="0.3">
      <c r="A1580" s="3"/>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c r="GL1580" s="1"/>
      <c r="GM1580" s="1"/>
      <c r="GN1580" s="1"/>
      <c r="GO1580" s="1"/>
      <c r="GP1580" s="1"/>
      <c r="GQ1580" s="1"/>
      <c r="GR1580" s="1"/>
      <c r="GS1580" s="1"/>
      <c r="GT1580" s="1"/>
      <c r="GU1580" s="1"/>
      <c r="GV1580" s="1"/>
      <c r="GW1580" s="1"/>
      <c r="GX1580" s="1"/>
      <c r="GY1580" s="1"/>
      <c r="GZ1580" s="1"/>
      <c r="HA1580" s="1"/>
      <c r="HB1580" s="1"/>
      <c r="HC1580" s="1"/>
      <c r="HD1580" s="1"/>
      <c r="HE1580" s="1"/>
      <c r="HF1580" s="1"/>
      <c r="HG1580" s="1"/>
      <c r="HH1580" s="1"/>
    </row>
    <row r="1581" spans="1:216" x14ac:dyDescent="0.3">
      <c r="A1581" s="3"/>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c r="EF1581" s="1"/>
      <c r="EG1581" s="1"/>
      <c r="EH1581" s="1"/>
      <c r="EI1581" s="1"/>
      <c r="EJ1581" s="1"/>
      <c r="EK1581" s="1"/>
      <c r="EL1581" s="1"/>
      <c r="EM1581" s="1"/>
      <c r="EN1581" s="1"/>
      <c r="EO1581" s="1"/>
      <c r="EP1581" s="1"/>
      <c r="EQ1581" s="1"/>
      <c r="ER1581" s="1"/>
      <c r="ES1581" s="1"/>
      <c r="ET1581" s="1"/>
      <c r="EU1581" s="1"/>
      <c r="EV1581" s="1"/>
      <c r="EW1581" s="1"/>
      <c r="EX1581" s="1"/>
      <c r="EY1581" s="1"/>
      <c r="EZ1581" s="1"/>
      <c r="FA1581" s="1"/>
      <c r="FB1581" s="1"/>
      <c r="FC1581" s="1"/>
      <c r="FD1581" s="1"/>
      <c r="FE1581" s="1"/>
      <c r="FF1581" s="1"/>
      <c r="FG1581" s="1"/>
      <c r="FH1581" s="1"/>
      <c r="FI1581" s="1"/>
      <c r="FJ1581" s="1"/>
      <c r="FK1581" s="1"/>
      <c r="FL1581" s="1"/>
      <c r="FM1581" s="1"/>
      <c r="FN1581" s="1"/>
      <c r="FO1581" s="1"/>
      <c r="FP1581" s="1"/>
      <c r="FQ1581" s="1"/>
      <c r="FR1581" s="1"/>
      <c r="FS1581" s="1"/>
      <c r="FT1581" s="1"/>
      <c r="FU1581" s="1"/>
      <c r="FV1581" s="1"/>
      <c r="FW1581" s="1"/>
      <c r="FX1581" s="1"/>
      <c r="FY1581" s="1"/>
      <c r="FZ1581" s="1"/>
      <c r="GA1581" s="1"/>
      <c r="GB1581" s="1"/>
      <c r="GC1581" s="1"/>
      <c r="GD1581" s="1"/>
      <c r="GE1581" s="1"/>
      <c r="GF1581" s="1"/>
      <c r="GG1581" s="1"/>
      <c r="GH1581" s="1"/>
      <c r="GI1581" s="1"/>
      <c r="GJ1581" s="1"/>
      <c r="GK1581" s="1"/>
      <c r="GL1581" s="1"/>
      <c r="GM1581" s="1"/>
      <c r="GN1581" s="1"/>
      <c r="GO1581" s="1"/>
      <c r="GP1581" s="1"/>
      <c r="GQ1581" s="1"/>
      <c r="GR1581" s="1"/>
      <c r="GS1581" s="1"/>
      <c r="GT1581" s="1"/>
      <c r="GU1581" s="1"/>
      <c r="GV1581" s="1"/>
      <c r="GW1581" s="1"/>
      <c r="GX1581" s="1"/>
      <c r="GY1581" s="1"/>
      <c r="GZ1581" s="1"/>
      <c r="HA1581" s="1"/>
      <c r="HB1581" s="1"/>
      <c r="HC1581" s="1"/>
      <c r="HD1581" s="1"/>
      <c r="HE1581" s="1"/>
      <c r="HF1581" s="1"/>
      <c r="HG1581" s="1"/>
      <c r="HH1581" s="1"/>
    </row>
    <row r="1582" spans="1:216" x14ac:dyDescent="0.3">
      <c r="A1582" s="3"/>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c r="FN1582" s="1"/>
      <c r="FO1582" s="1"/>
      <c r="FP1582" s="1"/>
      <c r="FQ1582" s="1"/>
      <c r="FR1582" s="1"/>
      <c r="FS1582" s="1"/>
      <c r="FT1582" s="1"/>
      <c r="FU1582" s="1"/>
      <c r="FV1582" s="1"/>
      <c r="FW1582" s="1"/>
      <c r="FX1582" s="1"/>
      <c r="FY1582" s="1"/>
      <c r="FZ1582" s="1"/>
      <c r="GA1582" s="1"/>
      <c r="GB1582" s="1"/>
      <c r="GC1582" s="1"/>
      <c r="GD1582" s="1"/>
      <c r="GE1582" s="1"/>
      <c r="GF1582" s="1"/>
      <c r="GG1582" s="1"/>
      <c r="GH1582" s="1"/>
      <c r="GI1582" s="1"/>
      <c r="GJ1582" s="1"/>
      <c r="GK1582" s="1"/>
      <c r="GL1582" s="1"/>
      <c r="GM1582" s="1"/>
      <c r="GN1582" s="1"/>
      <c r="GO1582" s="1"/>
      <c r="GP1582" s="1"/>
      <c r="GQ1582" s="1"/>
      <c r="GR1582" s="1"/>
      <c r="GS1582" s="1"/>
      <c r="GT1582" s="1"/>
      <c r="GU1582" s="1"/>
      <c r="GV1582" s="1"/>
      <c r="GW1582" s="1"/>
      <c r="GX1582" s="1"/>
      <c r="GY1582" s="1"/>
      <c r="GZ1582" s="1"/>
      <c r="HA1582" s="1"/>
      <c r="HB1582" s="1"/>
      <c r="HC1582" s="1"/>
      <c r="HD1582" s="1"/>
      <c r="HE1582" s="1"/>
      <c r="HF1582" s="1"/>
      <c r="HG1582" s="1"/>
      <c r="HH1582" s="1"/>
    </row>
    <row r="1583" spans="1:216" x14ac:dyDescent="0.3">
      <c r="A1583" s="3"/>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c r="EP1583" s="1"/>
      <c r="EQ1583" s="1"/>
      <c r="ER1583" s="1"/>
      <c r="ES1583" s="1"/>
      <c r="ET1583" s="1"/>
      <c r="EU1583" s="1"/>
      <c r="EV1583" s="1"/>
      <c r="EW1583" s="1"/>
      <c r="EX1583" s="1"/>
      <c r="EY1583" s="1"/>
      <c r="EZ1583" s="1"/>
      <c r="FA1583" s="1"/>
      <c r="FB1583" s="1"/>
      <c r="FC1583" s="1"/>
      <c r="FD1583" s="1"/>
      <c r="FE1583" s="1"/>
      <c r="FF1583" s="1"/>
      <c r="FG1583" s="1"/>
      <c r="FH1583" s="1"/>
      <c r="FI1583" s="1"/>
      <c r="FJ1583" s="1"/>
      <c r="FK1583" s="1"/>
      <c r="FL1583" s="1"/>
      <c r="FM1583" s="1"/>
      <c r="FN1583" s="1"/>
      <c r="FO1583" s="1"/>
      <c r="FP1583" s="1"/>
      <c r="FQ1583" s="1"/>
      <c r="FR1583" s="1"/>
      <c r="FS1583" s="1"/>
      <c r="FT1583" s="1"/>
      <c r="FU1583" s="1"/>
      <c r="FV1583" s="1"/>
      <c r="FW1583" s="1"/>
      <c r="FX1583" s="1"/>
      <c r="FY1583" s="1"/>
      <c r="FZ1583" s="1"/>
      <c r="GA1583" s="1"/>
      <c r="GB1583" s="1"/>
      <c r="GC1583" s="1"/>
      <c r="GD1583" s="1"/>
      <c r="GE1583" s="1"/>
      <c r="GF1583" s="1"/>
      <c r="GG1583" s="1"/>
      <c r="GH1583" s="1"/>
      <c r="GI1583" s="1"/>
      <c r="GJ1583" s="1"/>
      <c r="GK1583" s="1"/>
      <c r="GL1583" s="1"/>
      <c r="GM1583" s="1"/>
      <c r="GN1583" s="1"/>
      <c r="GO1583" s="1"/>
      <c r="GP1583" s="1"/>
      <c r="GQ1583" s="1"/>
      <c r="GR1583" s="1"/>
      <c r="GS1583" s="1"/>
      <c r="GT1583" s="1"/>
      <c r="GU1583" s="1"/>
      <c r="GV1583" s="1"/>
      <c r="GW1583" s="1"/>
      <c r="GX1583" s="1"/>
      <c r="GY1583" s="1"/>
      <c r="GZ1583" s="1"/>
      <c r="HA1583" s="1"/>
      <c r="HB1583" s="1"/>
      <c r="HC1583" s="1"/>
      <c r="HD1583" s="1"/>
      <c r="HE1583" s="1"/>
      <c r="HF1583" s="1"/>
      <c r="HG1583" s="1"/>
      <c r="HH1583" s="1"/>
    </row>
    <row r="1584" spans="1:216" x14ac:dyDescent="0.3">
      <c r="A1584" s="3"/>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c r="GL1584" s="1"/>
      <c r="GM1584" s="1"/>
      <c r="GN1584" s="1"/>
      <c r="GO1584" s="1"/>
      <c r="GP1584" s="1"/>
      <c r="GQ1584" s="1"/>
      <c r="GR1584" s="1"/>
      <c r="GS1584" s="1"/>
      <c r="GT1584" s="1"/>
      <c r="GU1584" s="1"/>
      <c r="GV1584" s="1"/>
      <c r="GW1584" s="1"/>
      <c r="GX1584" s="1"/>
      <c r="GY1584" s="1"/>
      <c r="GZ1584" s="1"/>
      <c r="HA1584" s="1"/>
      <c r="HB1584" s="1"/>
      <c r="HC1584" s="1"/>
      <c r="HD1584" s="1"/>
      <c r="HE1584" s="1"/>
      <c r="HF1584" s="1"/>
      <c r="HG1584" s="1"/>
      <c r="HH1584" s="1"/>
    </row>
    <row r="1585" spans="1:216" x14ac:dyDescent="0.3">
      <c r="A1585" s="3"/>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c r="EF1585" s="1"/>
      <c r="EG1585" s="1"/>
      <c r="EH1585" s="1"/>
      <c r="EI1585" s="1"/>
      <c r="EJ1585" s="1"/>
      <c r="EK1585" s="1"/>
      <c r="EL1585" s="1"/>
      <c r="EM1585" s="1"/>
      <c r="EN1585" s="1"/>
      <c r="EO1585" s="1"/>
      <c r="EP1585" s="1"/>
      <c r="EQ1585" s="1"/>
      <c r="ER1585" s="1"/>
      <c r="ES1585" s="1"/>
      <c r="ET1585" s="1"/>
      <c r="EU1585" s="1"/>
      <c r="EV1585" s="1"/>
      <c r="EW1585" s="1"/>
      <c r="EX1585" s="1"/>
      <c r="EY1585" s="1"/>
      <c r="EZ1585" s="1"/>
      <c r="FA1585" s="1"/>
      <c r="FB1585" s="1"/>
      <c r="FC1585" s="1"/>
      <c r="FD1585" s="1"/>
      <c r="FE1585" s="1"/>
      <c r="FF1585" s="1"/>
      <c r="FG1585" s="1"/>
      <c r="FH1585" s="1"/>
      <c r="FI1585" s="1"/>
      <c r="FJ1585" s="1"/>
      <c r="FK1585" s="1"/>
      <c r="FL1585" s="1"/>
      <c r="FM1585" s="1"/>
      <c r="FN1585" s="1"/>
      <c r="FO1585" s="1"/>
      <c r="FP1585" s="1"/>
      <c r="FQ1585" s="1"/>
      <c r="FR1585" s="1"/>
      <c r="FS1585" s="1"/>
      <c r="FT1585" s="1"/>
      <c r="FU1585" s="1"/>
      <c r="FV1585" s="1"/>
      <c r="FW1585" s="1"/>
      <c r="FX1585" s="1"/>
      <c r="FY1585" s="1"/>
      <c r="FZ1585" s="1"/>
      <c r="GA1585" s="1"/>
      <c r="GB1585" s="1"/>
      <c r="GC1585" s="1"/>
      <c r="GD1585" s="1"/>
      <c r="GE1585" s="1"/>
      <c r="GF1585" s="1"/>
      <c r="GG1585" s="1"/>
      <c r="GH1585" s="1"/>
      <c r="GI1585" s="1"/>
      <c r="GJ1585" s="1"/>
      <c r="GK1585" s="1"/>
      <c r="GL1585" s="1"/>
      <c r="GM1585" s="1"/>
      <c r="GN1585" s="1"/>
      <c r="GO1585" s="1"/>
      <c r="GP1585" s="1"/>
      <c r="GQ1585" s="1"/>
      <c r="GR1585" s="1"/>
      <c r="GS1585" s="1"/>
      <c r="GT1585" s="1"/>
      <c r="GU1585" s="1"/>
      <c r="GV1585" s="1"/>
      <c r="GW1585" s="1"/>
      <c r="GX1585" s="1"/>
      <c r="GY1585" s="1"/>
      <c r="GZ1585" s="1"/>
      <c r="HA1585" s="1"/>
      <c r="HB1585" s="1"/>
      <c r="HC1585" s="1"/>
      <c r="HD1585" s="1"/>
      <c r="HE1585" s="1"/>
      <c r="HF1585" s="1"/>
      <c r="HG1585" s="1"/>
      <c r="HH1585" s="1"/>
    </row>
    <row r="1586" spans="1:216" x14ac:dyDescent="0.3">
      <c r="A1586" s="3"/>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c r="FN1586" s="1"/>
      <c r="FO1586" s="1"/>
      <c r="FP1586" s="1"/>
      <c r="FQ1586" s="1"/>
      <c r="FR1586" s="1"/>
      <c r="FS1586" s="1"/>
      <c r="FT1586" s="1"/>
      <c r="FU1586" s="1"/>
      <c r="FV1586" s="1"/>
      <c r="FW1586" s="1"/>
      <c r="FX1586" s="1"/>
      <c r="FY1586" s="1"/>
      <c r="FZ1586" s="1"/>
      <c r="GA1586" s="1"/>
      <c r="GB1586" s="1"/>
      <c r="GC1586" s="1"/>
      <c r="GD1586" s="1"/>
      <c r="GE1586" s="1"/>
      <c r="GF1586" s="1"/>
      <c r="GG1586" s="1"/>
      <c r="GH1586" s="1"/>
      <c r="GI1586" s="1"/>
      <c r="GJ1586" s="1"/>
      <c r="GK1586" s="1"/>
      <c r="GL1586" s="1"/>
      <c r="GM1586" s="1"/>
      <c r="GN1586" s="1"/>
      <c r="GO1586" s="1"/>
      <c r="GP1586" s="1"/>
      <c r="GQ1586" s="1"/>
      <c r="GR1586" s="1"/>
      <c r="GS1586" s="1"/>
      <c r="GT1586" s="1"/>
      <c r="GU1586" s="1"/>
      <c r="GV1586" s="1"/>
      <c r="GW1586" s="1"/>
      <c r="GX1586" s="1"/>
      <c r="GY1586" s="1"/>
      <c r="GZ1586" s="1"/>
      <c r="HA1586" s="1"/>
      <c r="HB1586" s="1"/>
      <c r="HC1586" s="1"/>
      <c r="HD1586" s="1"/>
      <c r="HE1586" s="1"/>
      <c r="HF1586" s="1"/>
      <c r="HG1586" s="1"/>
      <c r="HH1586" s="1"/>
    </row>
    <row r="1587" spans="1:216" x14ac:dyDescent="0.3">
      <c r="A1587" s="3"/>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c r="GL1587" s="1"/>
      <c r="GM1587" s="1"/>
      <c r="GN1587" s="1"/>
      <c r="GO1587" s="1"/>
      <c r="GP1587" s="1"/>
      <c r="GQ1587" s="1"/>
      <c r="GR1587" s="1"/>
      <c r="GS1587" s="1"/>
      <c r="GT1587" s="1"/>
      <c r="GU1587" s="1"/>
      <c r="GV1587" s="1"/>
      <c r="GW1587" s="1"/>
      <c r="GX1587" s="1"/>
      <c r="GY1587" s="1"/>
      <c r="GZ1587" s="1"/>
      <c r="HA1587" s="1"/>
      <c r="HB1587" s="1"/>
      <c r="HC1587" s="1"/>
      <c r="HD1587" s="1"/>
      <c r="HE1587" s="1"/>
      <c r="HF1587" s="1"/>
      <c r="HG1587" s="1"/>
      <c r="HH1587" s="1"/>
    </row>
    <row r="1588" spans="1:216" x14ac:dyDescent="0.3">
      <c r="A1588" s="3"/>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c r="EF1588" s="1"/>
      <c r="EG1588" s="1"/>
      <c r="EH1588" s="1"/>
      <c r="EI1588" s="1"/>
      <c r="EJ1588" s="1"/>
      <c r="EK1588" s="1"/>
      <c r="EL1588" s="1"/>
      <c r="EM1588" s="1"/>
      <c r="EN1588" s="1"/>
      <c r="EO1588" s="1"/>
      <c r="EP1588" s="1"/>
      <c r="EQ1588" s="1"/>
      <c r="ER1588" s="1"/>
      <c r="ES1588" s="1"/>
      <c r="ET1588" s="1"/>
      <c r="EU1588" s="1"/>
      <c r="EV1588" s="1"/>
      <c r="EW1588" s="1"/>
      <c r="EX1588" s="1"/>
      <c r="EY1588" s="1"/>
      <c r="EZ1588" s="1"/>
      <c r="FA1588" s="1"/>
      <c r="FB1588" s="1"/>
      <c r="FC1588" s="1"/>
      <c r="FD1588" s="1"/>
      <c r="FE1588" s="1"/>
      <c r="FF1588" s="1"/>
      <c r="FG1588" s="1"/>
      <c r="FH1588" s="1"/>
      <c r="FI1588" s="1"/>
      <c r="FJ1588" s="1"/>
      <c r="FK1588" s="1"/>
      <c r="FL1588" s="1"/>
      <c r="FM1588" s="1"/>
      <c r="FN1588" s="1"/>
      <c r="FO1588" s="1"/>
      <c r="FP1588" s="1"/>
      <c r="FQ1588" s="1"/>
      <c r="FR1588" s="1"/>
      <c r="FS1588" s="1"/>
      <c r="FT1588" s="1"/>
      <c r="FU1588" s="1"/>
      <c r="FV1588" s="1"/>
      <c r="FW1588" s="1"/>
      <c r="FX1588" s="1"/>
      <c r="FY1588" s="1"/>
      <c r="FZ1588" s="1"/>
      <c r="GA1588" s="1"/>
      <c r="GB1588" s="1"/>
      <c r="GC1588" s="1"/>
      <c r="GD1588" s="1"/>
      <c r="GE1588" s="1"/>
      <c r="GF1588" s="1"/>
      <c r="GG1588" s="1"/>
      <c r="GH1588" s="1"/>
      <c r="GI1588" s="1"/>
      <c r="GJ1588" s="1"/>
      <c r="GK1588" s="1"/>
      <c r="GL1588" s="1"/>
      <c r="GM1588" s="1"/>
      <c r="GN1588" s="1"/>
      <c r="GO1588" s="1"/>
      <c r="GP1588" s="1"/>
      <c r="GQ1588" s="1"/>
      <c r="GR1588" s="1"/>
      <c r="GS1588" s="1"/>
      <c r="GT1588" s="1"/>
      <c r="GU1588" s="1"/>
      <c r="GV1588" s="1"/>
      <c r="GW1588" s="1"/>
      <c r="GX1588" s="1"/>
      <c r="GY1588" s="1"/>
      <c r="GZ1588" s="1"/>
      <c r="HA1588" s="1"/>
      <c r="HB1588" s="1"/>
      <c r="HC1588" s="1"/>
      <c r="HD1588" s="1"/>
      <c r="HE1588" s="1"/>
      <c r="HF1588" s="1"/>
      <c r="HG1588" s="1"/>
      <c r="HH1588" s="1"/>
    </row>
    <row r="1589" spans="1:216" x14ac:dyDescent="0.3">
      <c r="A1589" s="3"/>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c r="GL1589" s="1"/>
      <c r="GM1589" s="1"/>
      <c r="GN1589" s="1"/>
      <c r="GO1589" s="1"/>
      <c r="GP1589" s="1"/>
      <c r="GQ1589" s="1"/>
      <c r="GR1589" s="1"/>
      <c r="GS1589" s="1"/>
      <c r="GT1589" s="1"/>
      <c r="GU1589" s="1"/>
      <c r="GV1589" s="1"/>
      <c r="GW1589" s="1"/>
      <c r="GX1589" s="1"/>
      <c r="GY1589" s="1"/>
      <c r="GZ1589" s="1"/>
      <c r="HA1589" s="1"/>
      <c r="HB1589" s="1"/>
      <c r="HC1589" s="1"/>
      <c r="HD1589" s="1"/>
      <c r="HE1589" s="1"/>
      <c r="HF1589" s="1"/>
      <c r="HG1589" s="1"/>
      <c r="HH1589" s="1"/>
    </row>
    <row r="1590" spans="1:216" x14ac:dyDescent="0.3">
      <c r="A1590" s="3"/>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c r="GL1590" s="1"/>
      <c r="GM1590" s="1"/>
      <c r="GN1590" s="1"/>
      <c r="GO1590" s="1"/>
      <c r="GP1590" s="1"/>
      <c r="GQ1590" s="1"/>
      <c r="GR1590" s="1"/>
      <c r="GS1590" s="1"/>
      <c r="GT1590" s="1"/>
      <c r="GU1590" s="1"/>
      <c r="GV1590" s="1"/>
      <c r="GW1590" s="1"/>
      <c r="GX1590" s="1"/>
      <c r="GY1590" s="1"/>
      <c r="GZ1590" s="1"/>
      <c r="HA1590" s="1"/>
      <c r="HB1590" s="1"/>
      <c r="HC1590" s="1"/>
      <c r="HD1590" s="1"/>
      <c r="HE1590" s="1"/>
      <c r="HF1590" s="1"/>
      <c r="HG1590" s="1"/>
      <c r="HH1590" s="1"/>
    </row>
    <row r="1591" spans="1:216" x14ac:dyDescent="0.3">
      <c r="A1591" s="3"/>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c r="EF1591" s="1"/>
      <c r="EG1591" s="1"/>
      <c r="EH1591" s="1"/>
      <c r="EI1591" s="1"/>
      <c r="EJ1591" s="1"/>
      <c r="EK1591" s="1"/>
      <c r="EL1591" s="1"/>
      <c r="EM1591" s="1"/>
      <c r="EN1591" s="1"/>
      <c r="EO1591" s="1"/>
      <c r="EP1591" s="1"/>
      <c r="EQ1591" s="1"/>
      <c r="ER1591" s="1"/>
      <c r="ES1591" s="1"/>
      <c r="ET1591" s="1"/>
      <c r="EU1591" s="1"/>
      <c r="EV1591" s="1"/>
      <c r="EW1591" s="1"/>
      <c r="EX1591" s="1"/>
      <c r="EY1591" s="1"/>
      <c r="EZ1591" s="1"/>
      <c r="FA1591" s="1"/>
      <c r="FB1591" s="1"/>
      <c r="FC1591" s="1"/>
      <c r="FD1591" s="1"/>
      <c r="FE1591" s="1"/>
      <c r="FF1591" s="1"/>
      <c r="FG1591" s="1"/>
      <c r="FH1591" s="1"/>
      <c r="FI1591" s="1"/>
      <c r="FJ1591" s="1"/>
      <c r="FK1591" s="1"/>
      <c r="FL1591" s="1"/>
      <c r="FM1591" s="1"/>
      <c r="FN1591" s="1"/>
      <c r="FO1591" s="1"/>
      <c r="FP1591" s="1"/>
      <c r="FQ1591" s="1"/>
      <c r="FR1591" s="1"/>
      <c r="FS1591" s="1"/>
      <c r="FT1591" s="1"/>
      <c r="FU1591" s="1"/>
      <c r="FV1591" s="1"/>
      <c r="FW1591" s="1"/>
      <c r="FX1591" s="1"/>
      <c r="FY1591" s="1"/>
      <c r="FZ1591" s="1"/>
      <c r="GA1591" s="1"/>
      <c r="GB1591" s="1"/>
      <c r="GC1591" s="1"/>
      <c r="GD1591" s="1"/>
      <c r="GE1591" s="1"/>
      <c r="GF1591" s="1"/>
      <c r="GG1591" s="1"/>
      <c r="GH1591" s="1"/>
      <c r="GI1591" s="1"/>
      <c r="GJ1591" s="1"/>
      <c r="GK1591" s="1"/>
      <c r="GL1591" s="1"/>
      <c r="GM1591" s="1"/>
      <c r="GN1591" s="1"/>
      <c r="GO1591" s="1"/>
      <c r="GP1591" s="1"/>
      <c r="GQ1591" s="1"/>
      <c r="GR1591" s="1"/>
      <c r="GS1591" s="1"/>
      <c r="GT1591" s="1"/>
      <c r="GU1591" s="1"/>
      <c r="GV1591" s="1"/>
      <c r="GW1591" s="1"/>
      <c r="GX1591" s="1"/>
      <c r="GY1591" s="1"/>
      <c r="GZ1591" s="1"/>
      <c r="HA1591" s="1"/>
      <c r="HB1591" s="1"/>
      <c r="HC1591" s="1"/>
      <c r="HD1591" s="1"/>
      <c r="HE1591" s="1"/>
      <c r="HF1591" s="1"/>
      <c r="HG1591" s="1"/>
      <c r="HH1591" s="1"/>
    </row>
    <row r="1592" spans="1:216" x14ac:dyDescent="0.3">
      <c r="A1592" s="3"/>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c r="FN1592" s="1"/>
      <c r="FO1592" s="1"/>
      <c r="FP1592" s="1"/>
      <c r="FQ1592" s="1"/>
      <c r="FR1592" s="1"/>
      <c r="FS1592" s="1"/>
      <c r="FT1592" s="1"/>
      <c r="FU1592" s="1"/>
      <c r="FV1592" s="1"/>
      <c r="FW1592" s="1"/>
      <c r="FX1592" s="1"/>
      <c r="FY1592" s="1"/>
      <c r="FZ1592" s="1"/>
      <c r="GA1592" s="1"/>
      <c r="GB1592" s="1"/>
      <c r="GC1592" s="1"/>
      <c r="GD1592" s="1"/>
      <c r="GE1592" s="1"/>
      <c r="GF1592" s="1"/>
      <c r="GG1592" s="1"/>
      <c r="GH1592" s="1"/>
      <c r="GI1592" s="1"/>
      <c r="GJ1592" s="1"/>
      <c r="GK1592" s="1"/>
      <c r="GL1592" s="1"/>
      <c r="GM1592" s="1"/>
      <c r="GN1592" s="1"/>
      <c r="GO1592" s="1"/>
      <c r="GP1592" s="1"/>
      <c r="GQ1592" s="1"/>
      <c r="GR1592" s="1"/>
      <c r="GS1592" s="1"/>
      <c r="GT1592" s="1"/>
      <c r="GU1592" s="1"/>
      <c r="GV1592" s="1"/>
      <c r="GW1592" s="1"/>
      <c r="GX1592" s="1"/>
      <c r="GY1592" s="1"/>
      <c r="GZ1592" s="1"/>
      <c r="HA1592" s="1"/>
      <c r="HB1592" s="1"/>
      <c r="HC1592" s="1"/>
      <c r="HD1592" s="1"/>
      <c r="HE1592" s="1"/>
      <c r="HF1592" s="1"/>
      <c r="HG1592" s="1"/>
      <c r="HH1592" s="1"/>
    </row>
    <row r="1593" spans="1:216" x14ac:dyDescent="0.3">
      <c r="A1593" s="3"/>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c r="GL1593" s="1"/>
      <c r="GM1593" s="1"/>
      <c r="GN1593" s="1"/>
      <c r="GO1593" s="1"/>
      <c r="GP1593" s="1"/>
      <c r="GQ1593" s="1"/>
      <c r="GR1593" s="1"/>
      <c r="GS1593" s="1"/>
      <c r="GT1593" s="1"/>
      <c r="GU1593" s="1"/>
      <c r="GV1593" s="1"/>
      <c r="GW1593" s="1"/>
      <c r="GX1593" s="1"/>
      <c r="GY1593" s="1"/>
      <c r="GZ1593" s="1"/>
      <c r="HA1593" s="1"/>
      <c r="HB1593" s="1"/>
      <c r="HC1593" s="1"/>
      <c r="HD1593" s="1"/>
      <c r="HE1593" s="1"/>
      <c r="HF1593" s="1"/>
      <c r="HG1593" s="1"/>
      <c r="HH1593" s="1"/>
    </row>
    <row r="1594" spans="1:216" x14ac:dyDescent="0.3">
      <c r="A1594" s="3"/>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c r="FN1594" s="1"/>
      <c r="FO1594" s="1"/>
      <c r="FP1594" s="1"/>
      <c r="FQ1594" s="1"/>
      <c r="FR1594" s="1"/>
      <c r="FS1594" s="1"/>
      <c r="FT1594" s="1"/>
      <c r="FU1594" s="1"/>
      <c r="FV1594" s="1"/>
      <c r="FW1594" s="1"/>
      <c r="FX1594" s="1"/>
      <c r="FY1594" s="1"/>
      <c r="FZ1594" s="1"/>
      <c r="GA1594" s="1"/>
      <c r="GB1594" s="1"/>
      <c r="GC1594" s="1"/>
      <c r="GD1594" s="1"/>
      <c r="GE1594" s="1"/>
      <c r="GF1594" s="1"/>
      <c r="GG1594" s="1"/>
      <c r="GH1594" s="1"/>
      <c r="GI1594" s="1"/>
      <c r="GJ1594" s="1"/>
      <c r="GK1594" s="1"/>
      <c r="GL1594" s="1"/>
      <c r="GM1594" s="1"/>
      <c r="GN1594" s="1"/>
      <c r="GO1594" s="1"/>
      <c r="GP1594" s="1"/>
      <c r="GQ1594" s="1"/>
      <c r="GR1594" s="1"/>
      <c r="GS1594" s="1"/>
      <c r="GT1594" s="1"/>
      <c r="GU1594" s="1"/>
      <c r="GV1594" s="1"/>
      <c r="GW1594" s="1"/>
      <c r="GX1594" s="1"/>
      <c r="GY1594" s="1"/>
      <c r="GZ1594" s="1"/>
      <c r="HA1594" s="1"/>
      <c r="HB1594" s="1"/>
      <c r="HC1594" s="1"/>
      <c r="HD1594" s="1"/>
      <c r="HE1594" s="1"/>
      <c r="HF1594" s="1"/>
      <c r="HG1594" s="1"/>
      <c r="HH1594" s="1"/>
    </row>
    <row r="1595" spans="1:216" x14ac:dyDescent="0.3">
      <c r="A1595" s="3"/>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c r="FN1595" s="1"/>
      <c r="FO1595" s="1"/>
      <c r="FP1595" s="1"/>
      <c r="FQ1595" s="1"/>
      <c r="FR1595" s="1"/>
      <c r="FS1595" s="1"/>
      <c r="FT1595" s="1"/>
      <c r="FU1595" s="1"/>
      <c r="FV1595" s="1"/>
      <c r="FW1595" s="1"/>
      <c r="FX1595" s="1"/>
      <c r="FY1595" s="1"/>
      <c r="FZ1595" s="1"/>
      <c r="GA1595" s="1"/>
      <c r="GB1595" s="1"/>
      <c r="GC1595" s="1"/>
      <c r="GD1595" s="1"/>
      <c r="GE1595" s="1"/>
      <c r="GF1595" s="1"/>
      <c r="GG1595" s="1"/>
      <c r="GH1595" s="1"/>
      <c r="GI1595" s="1"/>
      <c r="GJ1595" s="1"/>
      <c r="GK1595" s="1"/>
      <c r="GL1595" s="1"/>
      <c r="GM1595" s="1"/>
      <c r="GN1595" s="1"/>
      <c r="GO1595" s="1"/>
      <c r="GP1595" s="1"/>
      <c r="GQ1595" s="1"/>
      <c r="GR1595" s="1"/>
      <c r="GS1595" s="1"/>
      <c r="GT1595" s="1"/>
      <c r="GU1595" s="1"/>
      <c r="GV1595" s="1"/>
      <c r="GW1595" s="1"/>
      <c r="GX1595" s="1"/>
      <c r="GY1595" s="1"/>
      <c r="GZ1595" s="1"/>
      <c r="HA1595" s="1"/>
      <c r="HB1595" s="1"/>
      <c r="HC1595" s="1"/>
      <c r="HD1595" s="1"/>
      <c r="HE1595" s="1"/>
      <c r="HF1595" s="1"/>
      <c r="HG1595" s="1"/>
      <c r="HH1595" s="1"/>
    </row>
    <row r="1596" spans="1:216" x14ac:dyDescent="0.3">
      <c r="A1596" s="3"/>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c r="GL1596" s="1"/>
      <c r="GM1596" s="1"/>
      <c r="GN1596" s="1"/>
      <c r="GO1596" s="1"/>
      <c r="GP1596" s="1"/>
      <c r="GQ1596" s="1"/>
      <c r="GR1596" s="1"/>
      <c r="GS1596" s="1"/>
      <c r="GT1596" s="1"/>
      <c r="GU1596" s="1"/>
      <c r="GV1596" s="1"/>
      <c r="GW1596" s="1"/>
      <c r="GX1596" s="1"/>
      <c r="GY1596" s="1"/>
      <c r="GZ1596" s="1"/>
      <c r="HA1596" s="1"/>
      <c r="HB1596" s="1"/>
      <c r="HC1596" s="1"/>
      <c r="HD1596" s="1"/>
      <c r="HE1596" s="1"/>
      <c r="HF1596" s="1"/>
      <c r="HG1596" s="1"/>
      <c r="HH1596" s="1"/>
    </row>
    <row r="1597" spans="1:216" x14ac:dyDescent="0.3">
      <c r="A1597" s="3"/>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c r="FN1597" s="1"/>
      <c r="FO1597" s="1"/>
      <c r="FP1597" s="1"/>
      <c r="FQ1597" s="1"/>
      <c r="FR1597" s="1"/>
      <c r="FS1597" s="1"/>
      <c r="FT1597" s="1"/>
      <c r="FU1597" s="1"/>
      <c r="FV1597" s="1"/>
      <c r="FW1597" s="1"/>
      <c r="FX1597" s="1"/>
      <c r="FY1597" s="1"/>
      <c r="FZ1597" s="1"/>
      <c r="GA1597" s="1"/>
      <c r="GB1597" s="1"/>
      <c r="GC1597" s="1"/>
      <c r="GD1597" s="1"/>
      <c r="GE1597" s="1"/>
      <c r="GF1597" s="1"/>
      <c r="GG1597" s="1"/>
      <c r="GH1597" s="1"/>
      <c r="GI1597" s="1"/>
      <c r="GJ1597" s="1"/>
      <c r="GK1597" s="1"/>
      <c r="GL1597" s="1"/>
      <c r="GM1597" s="1"/>
      <c r="GN1597" s="1"/>
      <c r="GO1597" s="1"/>
      <c r="GP1597" s="1"/>
      <c r="GQ1597" s="1"/>
      <c r="GR1597" s="1"/>
      <c r="GS1597" s="1"/>
      <c r="GT1597" s="1"/>
      <c r="GU1597" s="1"/>
      <c r="GV1597" s="1"/>
      <c r="GW1597" s="1"/>
      <c r="GX1597" s="1"/>
      <c r="GY1597" s="1"/>
      <c r="GZ1597" s="1"/>
      <c r="HA1597" s="1"/>
      <c r="HB1597" s="1"/>
      <c r="HC1597" s="1"/>
      <c r="HD1597" s="1"/>
      <c r="HE1597" s="1"/>
      <c r="HF1597" s="1"/>
      <c r="HG1597" s="1"/>
      <c r="HH1597" s="1"/>
    </row>
    <row r="1598" spans="1:216" x14ac:dyDescent="0.3">
      <c r="A1598" s="3"/>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c r="GL1598" s="1"/>
      <c r="GM1598" s="1"/>
      <c r="GN1598" s="1"/>
      <c r="GO1598" s="1"/>
      <c r="GP1598" s="1"/>
      <c r="GQ1598" s="1"/>
      <c r="GR1598" s="1"/>
      <c r="GS1598" s="1"/>
      <c r="GT1598" s="1"/>
      <c r="GU1598" s="1"/>
      <c r="GV1598" s="1"/>
      <c r="GW1598" s="1"/>
      <c r="GX1598" s="1"/>
      <c r="GY1598" s="1"/>
      <c r="GZ1598" s="1"/>
      <c r="HA1598" s="1"/>
      <c r="HB1598" s="1"/>
      <c r="HC1598" s="1"/>
      <c r="HD1598" s="1"/>
      <c r="HE1598" s="1"/>
      <c r="HF1598" s="1"/>
      <c r="HG1598" s="1"/>
      <c r="HH1598" s="1"/>
    </row>
    <row r="1599" spans="1:216" x14ac:dyDescent="0.3">
      <c r="A1599" s="3"/>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c r="GL1599" s="1"/>
      <c r="GM1599" s="1"/>
      <c r="GN1599" s="1"/>
      <c r="GO1599" s="1"/>
      <c r="GP1599" s="1"/>
      <c r="GQ1599" s="1"/>
      <c r="GR1599" s="1"/>
      <c r="GS1599" s="1"/>
      <c r="GT1599" s="1"/>
      <c r="GU1599" s="1"/>
      <c r="GV1599" s="1"/>
      <c r="GW1599" s="1"/>
      <c r="GX1599" s="1"/>
      <c r="GY1599" s="1"/>
      <c r="GZ1599" s="1"/>
      <c r="HA1599" s="1"/>
      <c r="HB1599" s="1"/>
      <c r="HC1599" s="1"/>
      <c r="HD1599" s="1"/>
      <c r="HE1599" s="1"/>
      <c r="HF1599" s="1"/>
      <c r="HG1599" s="1"/>
      <c r="HH1599" s="1"/>
    </row>
    <row r="1600" spans="1:216" x14ac:dyDescent="0.3">
      <c r="A1600" s="3"/>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c r="FS1600" s="1"/>
      <c r="FT1600" s="1"/>
      <c r="FU1600" s="1"/>
      <c r="FV1600" s="1"/>
      <c r="FW1600" s="1"/>
      <c r="FX1600" s="1"/>
      <c r="FY1600" s="1"/>
      <c r="FZ1600" s="1"/>
      <c r="GA1600" s="1"/>
      <c r="GB1600" s="1"/>
      <c r="GC1600" s="1"/>
      <c r="GD1600" s="1"/>
      <c r="GE1600" s="1"/>
      <c r="GF1600" s="1"/>
      <c r="GG1600" s="1"/>
      <c r="GH1600" s="1"/>
      <c r="GI1600" s="1"/>
      <c r="GJ1600" s="1"/>
      <c r="GK1600" s="1"/>
      <c r="GL1600" s="1"/>
      <c r="GM1600" s="1"/>
      <c r="GN1600" s="1"/>
      <c r="GO1600" s="1"/>
      <c r="GP1600" s="1"/>
      <c r="GQ1600" s="1"/>
      <c r="GR1600" s="1"/>
      <c r="GS1600" s="1"/>
      <c r="GT1600" s="1"/>
      <c r="GU1600" s="1"/>
      <c r="GV1600" s="1"/>
      <c r="GW1600" s="1"/>
      <c r="GX1600" s="1"/>
      <c r="GY1600" s="1"/>
      <c r="GZ1600" s="1"/>
      <c r="HA1600" s="1"/>
      <c r="HB1600" s="1"/>
      <c r="HC1600" s="1"/>
      <c r="HD1600" s="1"/>
      <c r="HE1600" s="1"/>
      <c r="HF1600" s="1"/>
      <c r="HG1600" s="1"/>
      <c r="HH1600" s="1"/>
    </row>
    <row r="1601" spans="1:216" x14ac:dyDescent="0.3">
      <c r="A1601" s="3"/>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GS1601" s="1"/>
      <c r="GT1601" s="1"/>
      <c r="GU1601" s="1"/>
      <c r="GV1601" s="1"/>
      <c r="GW1601" s="1"/>
      <c r="GX1601" s="1"/>
      <c r="GY1601" s="1"/>
      <c r="GZ1601" s="1"/>
      <c r="HA1601" s="1"/>
      <c r="HB1601" s="1"/>
      <c r="HC1601" s="1"/>
      <c r="HD1601" s="1"/>
      <c r="HE1601" s="1"/>
      <c r="HF1601" s="1"/>
      <c r="HG1601" s="1"/>
      <c r="HH1601" s="1"/>
    </row>
    <row r="1602" spans="1:216" x14ac:dyDescent="0.3">
      <c r="A1602" s="3"/>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c r="GL1602" s="1"/>
      <c r="GM1602" s="1"/>
      <c r="GN1602" s="1"/>
      <c r="GO1602" s="1"/>
      <c r="GP1602" s="1"/>
      <c r="GQ1602" s="1"/>
      <c r="GR1602" s="1"/>
      <c r="GS1602" s="1"/>
      <c r="GT1602" s="1"/>
      <c r="GU1602" s="1"/>
      <c r="GV1602" s="1"/>
      <c r="GW1602" s="1"/>
      <c r="GX1602" s="1"/>
      <c r="GY1602" s="1"/>
      <c r="GZ1602" s="1"/>
      <c r="HA1602" s="1"/>
      <c r="HB1602" s="1"/>
      <c r="HC1602" s="1"/>
      <c r="HD1602" s="1"/>
      <c r="HE1602" s="1"/>
      <c r="HF1602" s="1"/>
      <c r="HG1602" s="1"/>
      <c r="HH1602" s="1"/>
    </row>
    <row r="1603" spans="1:216" x14ac:dyDescent="0.3">
      <c r="A1603" s="3"/>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c r="FN1603" s="1"/>
      <c r="FO1603" s="1"/>
      <c r="FP1603" s="1"/>
      <c r="FQ1603" s="1"/>
      <c r="FR1603" s="1"/>
      <c r="FS1603" s="1"/>
      <c r="FT1603" s="1"/>
      <c r="FU1603" s="1"/>
      <c r="FV1603" s="1"/>
      <c r="FW1603" s="1"/>
      <c r="FX1603" s="1"/>
      <c r="FY1603" s="1"/>
      <c r="FZ1603" s="1"/>
      <c r="GA1603" s="1"/>
      <c r="GB1603" s="1"/>
      <c r="GC1603" s="1"/>
      <c r="GD1603" s="1"/>
      <c r="GE1603" s="1"/>
      <c r="GF1603" s="1"/>
      <c r="GG1603" s="1"/>
      <c r="GH1603" s="1"/>
      <c r="GI1603" s="1"/>
      <c r="GJ1603" s="1"/>
      <c r="GK1603" s="1"/>
      <c r="GL1603" s="1"/>
      <c r="GM1603" s="1"/>
      <c r="GN1603" s="1"/>
      <c r="GO1603" s="1"/>
      <c r="GP1603" s="1"/>
      <c r="GQ1603" s="1"/>
      <c r="GR1603" s="1"/>
      <c r="GS1603" s="1"/>
      <c r="GT1603" s="1"/>
      <c r="GU1603" s="1"/>
      <c r="GV1603" s="1"/>
      <c r="GW1603" s="1"/>
      <c r="GX1603" s="1"/>
      <c r="GY1603" s="1"/>
      <c r="GZ1603" s="1"/>
      <c r="HA1603" s="1"/>
      <c r="HB1603" s="1"/>
      <c r="HC1603" s="1"/>
      <c r="HD1603" s="1"/>
      <c r="HE1603" s="1"/>
      <c r="HF1603" s="1"/>
      <c r="HG1603" s="1"/>
      <c r="HH1603" s="1"/>
    </row>
    <row r="1604" spans="1:216" x14ac:dyDescent="0.3">
      <c r="A1604" s="3"/>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c r="FN1604" s="1"/>
      <c r="FO1604" s="1"/>
      <c r="FP1604" s="1"/>
      <c r="FQ1604" s="1"/>
      <c r="FR1604" s="1"/>
      <c r="FS1604" s="1"/>
      <c r="FT1604" s="1"/>
      <c r="FU1604" s="1"/>
      <c r="FV1604" s="1"/>
      <c r="FW1604" s="1"/>
      <c r="FX1604" s="1"/>
      <c r="FY1604" s="1"/>
      <c r="FZ1604" s="1"/>
      <c r="GA1604" s="1"/>
      <c r="GB1604" s="1"/>
      <c r="GC1604" s="1"/>
      <c r="GD1604" s="1"/>
      <c r="GE1604" s="1"/>
      <c r="GF1604" s="1"/>
      <c r="GG1604" s="1"/>
      <c r="GH1604" s="1"/>
      <c r="GI1604" s="1"/>
      <c r="GJ1604" s="1"/>
      <c r="GK1604" s="1"/>
      <c r="GL1604" s="1"/>
      <c r="GM1604" s="1"/>
      <c r="GN1604" s="1"/>
      <c r="GO1604" s="1"/>
      <c r="GP1604" s="1"/>
      <c r="GQ1604" s="1"/>
      <c r="GR1604" s="1"/>
      <c r="GS1604" s="1"/>
      <c r="GT1604" s="1"/>
      <c r="GU1604" s="1"/>
      <c r="GV1604" s="1"/>
      <c r="GW1604" s="1"/>
      <c r="GX1604" s="1"/>
      <c r="GY1604" s="1"/>
      <c r="GZ1604" s="1"/>
      <c r="HA1604" s="1"/>
      <c r="HB1604" s="1"/>
      <c r="HC1604" s="1"/>
      <c r="HD1604" s="1"/>
      <c r="HE1604" s="1"/>
      <c r="HF1604" s="1"/>
      <c r="HG1604" s="1"/>
      <c r="HH1604" s="1"/>
    </row>
    <row r="1605" spans="1:216" x14ac:dyDescent="0.3">
      <c r="A1605" s="3"/>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GS1605" s="1"/>
      <c r="GT1605" s="1"/>
      <c r="GU1605" s="1"/>
      <c r="GV1605" s="1"/>
      <c r="GW1605" s="1"/>
      <c r="GX1605" s="1"/>
      <c r="GY1605" s="1"/>
      <c r="GZ1605" s="1"/>
      <c r="HA1605" s="1"/>
      <c r="HB1605" s="1"/>
      <c r="HC1605" s="1"/>
      <c r="HD1605" s="1"/>
      <c r="HE1605" s="1"/>
      <c r="HF1605" s="1"/>
      <c r="HG1605" s="1"/>
      <c r="HH1605" s="1"/>
    </row>
    <row r="1606" spans="1:216" x14ac:dyDescent="0.3">
      <c r="A1606" s="3"/>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c r="GL1606" s="1"/>
      <c r="GM1606" s="1"/>
      <c r="GN1606" s="1"/>
      <c r="GO1606" s="1"/>
      <c r="GP1606" s="1"/>
      <c r="GQ1606" s="1"/>
      <c r="GR1606" s="1"/>
      <c r="GS1606" s="1"/>
      <c r="GT1606" s="1"/>
      <c r="GU1606" s="1"/>
      <c r="GV1606" s="1"/>
      <c r="GW1606" s="1"/>
      <c r="GX1606" s="1"/>
      <c r="GY1606" s="1"/>
      <c r="GZ1606" s="1"/>
      <c r="HA1606" s="1"/>
      <c r="HB1606" s="1"/>
      <c r="HC1606" s="1"/>
      <c r="HD1606" s="1"/>
      <c r="HE1606" s="1"/>
      <c r="HF1606" s="1"/>
      <c r="HG1606" s="1"/>
      <c r="HH1606" s="1"/>
    </row>
    <row r="1607" spans="1:216" x14ac:dyDescent="0.3">
      <c r="A1607" s="3"/>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c r="FN1607" s="1"/>
      <c r="FO1607" s="1"/>
      <c r="FP1607" s="1"/>
      <c r="FQ1607" s="1"/>
      <c r="FR1607" s="1"/>
      <c r="FS1607" s="1"/>
      <c r="FT1607" s="1"/>
      <c r="FU1607" s="1"/>
      <c r="FV1607" s="1"/>
      <c r="FW1607" s="1"/>
      <c r="FX1607" s="1"/>
      <c r="FY1607" s="1"/>
      <c r="FZ1607" s="1"/>
      <c r="GA1607" s="1"/>
      <c r="GB1607" s="1"/>
      <c r="GC1607" s="1"/>
      <c r="GD1607" s="1"/>
      <c r="GE1607" s="1"/>
      <c r="GF1607" s="1"/>
      <c r="GG1607" s="1"/>
      <c r="GH1607" s="1"/>
      <c r="GI1607" s="1"/>
      <c r="GJ1607" s="1"/>
      <c r="GK1607" s="1"/>
      <c r="GL1607" s="1"/>
      <c r="GM1607" s="1"/>
      <c r="GN1607" s="1"/>
      <c r="GO1607" s="1"/>
      <c r="GP1607" s="1"/>
      <c r="GQ1607" s="1"/>
      <c r="GR1607" s="1"/>
      <c r="GS1607" s="1"/>
      <c r="GT1607" s="1"/>
      <c r="GU1607" s="1"/>
      <c r="GV1607" s="1"/>
      <c r="GW1607" s="1"/>
      <c r="GX1607" s="1"/>
      <c r="GY1607" s="1"/>
      <c r="GZ1607" s="1"/>
      <c r="HA1607" s="1"/>
      <c r="HB1607" s="1"/>
      <c r="HC1607" s="1"/>
      <c r="HD1607" s="1"/>
      <c r="HE1607" s="1"/>
      <c r="HF1607" s="1"/>
      <c r="HG1607" s="1"/>
      <c r="HH1607" s="1"/>
    </row>
    <row r="1608" spans="1:216" x14ac:dyDescent="0.3">
      <c r="A1608" s="3"/>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c r="EF1608" s="1"/>
      <c r="EG1608" s="1"/>
      <c r="EH1608" s="1"/>
      <c r="EI1608" s="1"/>
      <c r="EJ1608" s="1"/>
      <c r="EK1608" s="1"/>
      <c r="EL1608" s="1"/>
      <c r="EM1608" s="1"/>
      <c r="EN1608" s="1"/>
      <c r="EO1608" s="1"/>
      <c r="EP1608" s="1"/>
      <c r="EQ1608" s="1"/>
      <c r="ER1608" s="1"/>
      <c r="ES1608" s="1"/>
      <c r="ET1608" s="1"/>
      <c r="EU1608" s="1"/>
      <c r="EV1608" s="1"/>
      <c r="EW1608" s="1"/>
      <c r="EX1608" s="1"/>
      <c r="EY1608" s="1"/>
      <c r="EZ1608" s="1"/>
      <c r="FA1608" s="1"/>
      <c r="FB1608" s="1"/>
      <c r="FC1608" s="1"/>
      <c r="FD1608" s="1"/>
      <c r="FE1608" s="1"/>
      <c r="FF1608" s="1"/>
      <c r="FG1608" s="1"/>
      <c r="FH1608" s="1"/>
      <c r="FI1608" s="1"/>
      <c r="FJ1608" s="1"/>
      <c r="FK1608" s="1"/>
      <c r="FL1608" s="1"/>
      <c r="FM1608" s="1"/>
      <c r="FN1608" s="1"/>
      <c r="FO1608" s="1"/>
      <c r="FP1608" s="1"/>
      <c r="FQ1608" s="1"/>
      <c r="FR1608" s="1"/>
      <c r="FS1608" s="1"/>
      <c r="FT1608" s="1"/>
      <c r="FU1608" s="1"/>
      <c r="FV1608" s="1"/>
      <c r="FW1608" s="1"/>
      <c r="FX1608" s="1"/>
      <c r="FY1608" s="1"/>
      <c r="FZ1608" s="1"/>
      <c r="GA1608" s="1"/>
      <c r="GB1608" s="1"/>
      <c r="GC1608" s="1"/>
      <c r="GD1608" s="1"/>
      <c r="GE1608" s="1"/>
      <c r="GF1608" s="1"/>
      <c r="GG1608" s="1"/>
      <c r="GH1608" s="1"/>
      <c r="GI1608" s="1"/>
      <c r="GJ1608" s="1"/>
      <c r="GK1608" s="1"/>
      <c r="GL1608" s="1"/>
      <c r="GM1608" s="1"/>
      <c r="GN1608" s="1"/>
      <c r="GO1608" s="1"/>
      <c r="GP1608" s="1"/>
      <c r="GQ1608" s="1"/>
      <c r="GR1608" s="1"/>
      <c r="GS1608" s="1"/>
      <c r="GT1608" s="1"/>
      <c r="GU1608" s="1"/>
      <c r="GV1608" s="1"/>
      <c r="GW1608" s="1"/>
      <c r="GX1608" s="1"/>
      <c r="GY1608" s="1"/>
      <c r="GZ1608" s="1"/>
      <c r="HA1608" s="1"/>
      <c r="HB1608" s="1"/>
      <c r="HC1608" s="1"/>
      <c r="HD1608" s="1"/>
      <c r="HE1608" s="1"/>
      <c r="HF1608" s="1"/>
      <c r="HG1608" s="1"/>
      <c r="HH1608" s="1"/>
    </row>
    <row r="1609" spans="1:216" x14ac:dyDescent="0.3">
      <c r="A1609" s="3"/>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c r="GL1609" s="1"/>
      <c r="GM1609" s="1"/>
      <c r="GN1609" s="1"/>
      <c r="GO1609" s="1"/>
      <c r="GP1609" s="1"/>
      <c r="GQ1609" s="1"/>
      <c r="GR1609" s="1"/>
      <c r="GS1609" s="1"/>
      <c r="GT1609" s="1"/>
      <c r="GU1609" s="1"/>
      <c r="GV1609" s="1"/>
      <c r="GW1609" s="1"/>
      <c r="GX1609" s="1"/>
      <c r="GY1609" s="1"/>
      <c r="GZ1609" s="1"/>
      <c r="HA1609" s="1"/>
      <c r="HB1609" s="1"/>
      <c r="HC1609" s="1"/>
      <c r="HD1609" s="1"/>
      <c r="HE1609" s="1"/>
      <c r="HF1609" s="1"/>
      <c r="HG1609" s="1"/>
      <c r="HH1609" s="1"/>
    </row>
    <row r="1610" spans="1:216" x14ac:dyDescent="0.3">
      <c r="A1610" s="3"/>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c r="FN1610" s="1"/>
      <c r="FO1610" s="1"/>
      <c r="FP1610" s="1"/>
      <c r="FQ1610" s="1"/>
      <c r="FR1610" s="1"/>
      <c r="FS1610" s="1"/>
      <c r="FT1610" s="1"/>
      <c r="FU1610" s="1"/>
      <c r="FV1610" s="1"/>
      <c r="FW1610" s="1"/>
      <c r="FX1610" s="1"/>
      <c r="FY1610" s="1"/>
      <c r="FZ1610" s="1"/>
      <c r="GA1610" s="1"/>
      <c r="GB1610" s="1"/>
      <c r="GC1610" s="1"/>
      <c r="GD1610" s="1"/>
      <c r="GE1610" s="1"/>
      <c r="GF1610" s="1"/>
      <c r="GG1610" s="1"/>
      <c r="GH1610" s="1"/>
      <c r="GI1610" s="1"/>
      <c r="GJ1610" s="1"/>
      <c r="GK1610" s="1"/>
      <c r="GL1610" s="1"/>
      <c r="GM1610" s="1"/>
      <c r="GN1610" s="1"/>
      <c r="GO1610" s="1"/>
      <c r="GP1610" s="1"/>
      <c r="GQ1610" s="1"/>
      <c r="GR1610" s="1"/>
      <c r="GS1610" s="1"/>
      <c r="GT1610" s="1"/>
      <c r="GU1610" s="1"/>
      <c r="GV1610" s="1"/>
      <c r="GW1610" s="1"/>
      <c r="GX1610" s="1"/>
      <c r="GY1610" s="1"/>
      <c r="GZ1610" s="1"/>
      <c r="HA1610" s="1"/>
      <c r="HB1610" s="1"/>
      <c r="HC1610" s="1"/>
      <c r="HD1610" s="1"/>
      <c r="HE1610" s="1"/>
      <c r="HF1610" s="1"/>
      <c r="HG1610" s="1"/>
      <c r="HH1610" s="1"/>
    </row>
    <row r="1611" spans="1:216" x14ac:dyDescent="0.3">
      <c r="A1611" s="3"/>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c r="GL1611" s="1"/>
      <c r="GM1611" s="1"/>
      <c r="GN1611" s="1"/>
      <c r="GO1611" s="1"/>
      <c r="GP1611" s="1"/>
      <c r="GQ1611" s="1"/>
      <c r="GR1611" s="1"/>
      <c r="GS1611" s="1"/>
      <c r="GT1611" s="1"/>
      <c r="GU1611" s="1"/>
      <c r="GV1611" s="1"/>
      <c r="GW1611" s="1"/>
      <c r="GX1611" s="1"/>
      <c r="GY1611" s="1"/>
      <c r="GZ1611" s="1"/>
      <c r="HA1611" s="1"/>
      <c r="HB1611" s="1"/>
      <c r="HC1611" s="1"/>
      <c r="HD1611" s="1"/>
      <c r="HE1611" s="1"/>
      <c r="HF1611" s="1"/>
      <c r="HG1611" s="1"/>
      <c r="HH1611" s="1"/>
    </row>
    <row r="1612" spans="1:216" x14ac:dyDescent="0.3">
      <c r="A1612" s="3"/>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c r="EF1612" s="1"/>
      <c r="EG1612" s="1"/>
      <c r="EH1612" s="1"/>
      <c r="EI1612" s="1"/>
      <c r="EJ1612" s="1"/>
      <c r="EK1612" s="1"/>
      <c r="EL1612" s="1"/>
      <c r="EM1612" s="1"/>
      <c r="EN1612" s="1"/>
      <c r="EO1612" s="1"/>
      <c r="EP1612" s="1"/>
      <c r="EQ1612" s="1"/>
      <c r="ER1612" s="1"/>
      <c r="ES1612" s="1"/>
      <c r="ET1612" s="1"/>
      <c r="EU1612" s="1"/>
      <c r="EV1612" s="1"/>
      <c r="EW1612" s="1"/>
      <c r="EX1612" s="1"/>
      <c r="EY1612" s="1"/>
      <c r="EZ1612" s="1"/>
      <c r="FA1612" s="1"/>
      <c r="FB1612" s="1"/>
      <c r="FC1612" s="1"/>
      <c r="FD1612" s="1"/>
      <c r="FE1612" s="1"/>
      <c r="FF1612" s="1"/>
      <c r="FG1612" s="1"/>
      <c r="FH1612" s="1"/>
      <c r="FI1612" s="1"/>
      <c r="FJ1612" s="1"/>
      <c r="FK1612" s="1"/>
      <c r="FL1612" s="1"/>
      <c r="FM1612" s="1"/>
      <c r="FN1612" s="1"/>
      <c r="FO1612" s="1"/>
      <c r="FP1612" s="1"/>
      <c r="FQ1612" s="1"/>
      <c r="FR1612" s="1"/>
      <c r="FS1612" s="1"/>
      <c r="FT1612" s="1"/>
      <c r="FU1612" s="1"/>
      <c r="FV1612" s="1"/>
      <c r="FW1612" s="1"/>
      <c r="FX1612" s="1"/>
      <c r="FY1612" s="1"/>
      <c r="FZ1612" s="1"/>
      <c r="GA1612" s="1"/>
      <c r="GB1612" s="1"/>
      <c r="GC1612" s="1"/>
      <c r="GD1612" s="1"/>
      <c r="GE1612" s="1"/>
      <c r="GF1612" s="1"/>
      <c r="GG1612" s="1"/>
      <c r="GH1612" s="1"/>
      <c r="GI1612" s="1"/>
      <c r="GJ1612" s="1"/>
      <c r="GK1612" s="1"/>
      <c r="GL1612" s="1"/>
      <c r="GM1612" s="1"/>
      <c r="GN1612" s="1"/>
      <c r="GO1612" s="1"/>
      <c r="GP1612" s="1"/>
      <c r="GQ1612" s="1"/>
      <c r="GR1612" s="1"/>
      <c r="GS1612" s="1"/>
      <c r="GT1612" s="1"/>
      <c r="GU1612" s="1"/>
      <c r="GV1612" s="1"/>
      <c r="GW1612" s="1"/>
      <c r="GX1612" s="1"/>
      <c r="GY1612" s="1"/>
      <c r="GZ1612" s="1"/>
      <c r="HA1612" s="1"/>
      <c r="HB1612" s="1"/>
      <c r="HC1612" s="1"/>
      <c r="HD1612" s="1"/>
      <c r="HE1612" s="1"/>
      <c r="HF1612" s="1"/>
      <c r="HG1612" s="1"/>
      <c r="HH1612" s="1"/>
    </row>
    <row r="1613" spans="1:216" x14ac:dyDescent="0.3">
      <c r="A1613" s="3"/>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c r="GL1613" s="1"/>
      <c r="GM1613" s="1"/>
      <c r="GN1613" s="1"/>
      <c r="GO1613" s="1"/>
      <c r="GP1613" s="1"/>
      <c r="GQ1613" s="1"/>
      <c r="GR1613" s="1"/>
      <c r="GS1613" s="1"/>
      <c r="GT1613" s="1"/>
      <c r="GU1613" s="1"/>
      <c r="GV1613" s="1"/>
      <c r="GW1613" s="1"/>
      <c r="GX1613" s="1"/>
      <c r="GY1613" s="1"/>
      <c r="GZ1613" s="1"/>
      <c r="HA1613" s="1"/>
      <c r="HB1613" s="1"/>
      <c r="HC1613" s="1"/>
      <c r="HD1613" s="1"/>
      <c r="HE1613" s="1"/>
      <c r="HF1613" s="1"/>
      <c r="HG1613" s="1"/>
      <c r="HH1613" s="1"/>
    </row>
    <row r="1614" spans="1:216" x14ac:dyDescent="0.3">
      <c r="A1614" s="3"/>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c r="GL1614" s="1"/>
      <c r="GM1614" s="1"/>
      <c r="GN1614" s="1"/>
      <c r="GO1614" s="1"/>
      <c r="GP1614" s="1"/>
      <c r="GQ1614" s="1"/>
      <c r="GR1614" s="1"/>
      <c r="GS1614" s="1"/>
      <c r="GT1614" s="1"/>
      <c r="GU1614" s="1"/>
      <c r="GV1614" s="1"/>
      <c r="GW1614" s="1"/>
      <c r="GX1614" s="1"/>
      <c r="GY1614" s="1"/>
      <c r="GZ1614" s="1"/>
      <c r="HA1614" s="1"/>
      <c r="HB1614" s="1"/>
      <c r="HC1614" s="1"/>
      <c r="HD1614" s="1"/>
      <c r="HE1614" s="1"/>
      <c r="HF1614" s="1"/>
      <c r="HG1614" s="1"/>
      <c r="HH1614" s="1"/>
    </row>
    <row r="1615" spans="1:216" x14ac:dyDescent="0.3">
      <c r="A1615" s="3"/>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c r="EF1615" s="1"/>
      <c r="EG1615" s="1"/>
      <c r="EH1615" s="1"/>
      <c r="EI1615" s="1"/>
      <c r="EJ1615" s="1"/>
      <c r="EK1615" s="1"/>
      <c r="EL1615" s="1"/>
      <c r="EM1615" s="1"/>
      <c r="EN1615" s="1"/>
      <c r="EO1615" s="1"/>
      <c r="EP1615" s="1"/>
      <c r="EQ1615" s="1"/>
      <c r="ER1615" s="1"/>
      <c r="ES1615" s="1"/>
      <c r="ET1615" s="1"/>
      <c r="EU1615" s="1"/>
      <c r="EV1615" s="1"/>
      <c r="EW1615" s="1"/>
      <c r="EX1615" s="1"/>
      <c r="EY1615" s="1"/>
      <c r="EZ1615" s="1"/>
      <c r="FA1615" s="1"/>
      <c r="FB1615" s="1"/>
      <c r="FC1615" s="1"/>
      <c r="FD1615" s="1"/>
      <c r="FE1615" s="1"/>
      <c r="FF1615" s="1"/>
      <c r="FG1615" s="1"/>
      <c r="FH1615" s="1"/>
      <c r="FI1615" s="1"/>
      <c r="FJ1615" s="1"/>
      <c r="FK1615" s="1"/>
      <c r="FL1615" s="1"/>
      <c r="FM1615" s="1"/>
      <c r="FN1615" s="1"/>
      <c r="FO1615" s="1"/>
      <c r="FP1615" s="1"/>
      <c r="FQ1615" s="1"/>
      <c r="FR1615" s="1"/>
      <c r="FS1615" s="1"/>
      <c r="FT1615" s="1"/>
      <c r="FU1615" s="1"/>
      <c r="FV1615" s="1"/>
      <c r="FW1615" s="1"/>
      <c r="FX1615" s="1"/>
      <c r="FY1615" s="1"/>
      <c r="FZ1615" s="1"/>
      <c r="GA1615" s="1"/>
      <c r="GB1615" s="1"/>
      <c r="GC1615" s="1"/>
      <c r="GD1615" s="1"/>
      <c r="GE1615" s="1"/>
      <c r="GF1615" s="1"/>
      <c r="GG1615" s="1"/>
      <c r="GH1615" s="1"/>
      <c r="GI1615" s="1"/>
      <c r="GJ1615" s="1"/>
      <c r="GK1615" s="1"/>
      <c r="GL1615" s="1"/>
      <c r="GM1615" s="1"/>
      <c r="GN1615" s="1"/>
      <c r="GO1615" s="1"/>
      <c r="GP1615" s="1"/>
      <c r="GQ1615" s="1"/>
      <c r="GR1615" s="1"/>
      <c r="GS1615" s="1"/>
      <c r="GT1615" s="1"/>
      <c r="GU1615" s="1"/>
      <c r="GV1615" s="1"/>
      <c r="GW1615" s="1"/>
      <c r="GX1615" s="1"/>
      <c r="GY1615" s="1"/>
      <c r="GZ1615" s="1"/>
      <c r="HA1615" s="1"/>
      <c r="HB1615" s="1"/>
      <c r="HC1615" s="1"/>
      <c r="HD1615" s="1"/>
      <c r="HE1615" s="1"/>
      <c r="HF1615" s="1"/>
      <c r="HG1615" s="1"/>
      <c r="HH1615" s="1"/>
    </row>
    <row r="1616" spans="1:216" x14ac:dyDescent="0.3">
      <c r="A1616" s="3"/>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c r="FN1616" s="1"/>
      <c r="FO1616" s="1"/>
      <c r="FP1616" s="1"/>
      <c r="FQ1616" s="1"/>
      <c r="FR1616" s="1"/>
      <c r="FS1616" s="1"/>
      <c r="FT1616" s="1"/>
      <c r="FU1616" s="1"/>
      <c r="FV1616" s="1"/>
      <c r="FW1616" s="1"/>
      <c r="FX1616" s="1"/>
      <c r="FY1616" s="1"/>
      <c r="FZ1616" s="1"/>
      <c r="GA1616" s="1"/>
      <c r="GB1616" s="1"/>
      <c r="GC1616" s="1"/>
      <c r="GD1616" s="1"/>
      <c r="GE1616" s="1"/>
      <c r="GF1616" s="1"/>
      <c r="GG1616" s="1"/>
      <c r="GH1616" s="1"/>
      <c r="GI1616" s="1"/>
      <c r="GJ1616" s="1"/>
      <c r="GK1616" s="1"/>
      <c r="GL1616" s="1"/>
      <c r="GM1616" s="1"/>
      <c r="GN1616" s="1"/>
      <c r="GO1616" s="1"/>
      <c r="GP1616" s="1"/>
      <c r="GQ1616" s="1"/>
      <c r="GR1616" s="1"/>
      <c r="GS1616" s="1"/>
      <c r="GT1616" s="1"/>
      <c r="GU1616" s="1"/>
      <c r="GV1616" s="1"/>
      <c r="GW1616" s="1"/>
      <c r="GX1616" s="1"/>
      <c r="GY1616" s="1"/>
      <c r="GZ1616" s="1"/>
      <c r="HA1616" s="1"/>
      <c r="HB1616" s="1"/>
      <c r="HC1616" s="1"/>
      <c r="HD1616" s="1"/>
      <c r="HE1616" s="1"/>
      <c r="HF1616" s="1"/>
      <c r="HG1616" s="1"/>
      <c r="HH1616" s="1"/>
    </row>
    <row r="1617" spans="1:216" x14ac:dyDescent="0.3">
      <c r="A1617" s="3"/>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c r="FN1617" s="1"/>
      <c r="FO1617" s="1"/>
      <c r="FP1617" s="1"/>
      <c r="FQ1617" s="1"/>
      <c r="FR1617" s="1"/>
      <c r="FS1617" s="1"/>
      <c r="FT1617" s="1"/>
      <c r="FU1617" s="1"/>
      <c r="FV1617" s="1"/>
      <c r="FW1617" s="1"/>
      <c r="FX1617" s="1"/>
      <c r="FY1617" s="1"/>
      <c r="FZ1617" s="1"/>
      <c r="GA1617" s="1"/>
      <c r="GB1617" s="1"/>
      <c r="GC1617" s="1"/>
      <c r="GD1617" s="1"/>
      <c r="GE1617" s="1"/>
      <c r="GF1617" s="1"/>
      <c r="GG1617" s="1"/>
      <c r="GH1617" s="1"/>
      <c r="GI1617" s="1"/>
      <c r="GJ1617" s="1"/>
      <c r="GK1617" s="1"/>
      <c r="GL1617" s="1"/>
      <c r="GM1617" s="1"/>
      <c r="GN1617" s="1"/>
      <c r="GO1617" s="1"/>
      <c r="GP1617" s="1"/>
      <c r="GQ1617" s="1"/>
      <c r="GR1617" s="1"/>
      <c r="GS1617" s="1"/>
      <c r="GT1617" s="1"/>
      <c r="GU1617" s="1"/>
      <c r="GV1617" s="1"/>
      <c r="GW1617" s="1"/>
      <c r="GX1617" s="1"/>
      <c r="GY1617" s="1"/>
      <c r="GZ1617" s="1"/>
      <c r="HA1617" s="1"/>
      <c r="HB1617" s="1"/>
      <c r="HC1617" s="1"/>
      <c r="HD1617" s="1"/>
      <c r="HE1617" s="1"/>
      <c r="HF1617" s="1"/>
      <c r="HG1617" s="1"/>
      <c r="HH1617" s="1"/>
    </row>
    <row r="1618" spans="1:216" x14ac:dyDescent="0.3">
      <c r="A1618" s="3"/>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c r="ET1618" s="1"/>
      <c r="EU1618" s="1"/>
      <c r="EV1618" s="1"/>
      <c r="EW1618" s="1"/>
      <c r="EX1618" s="1"/>
      <c r="EY1618" s="1"/>
      <c r="EZ1618" s="1"/>
      <c r="FA1618" s="1"/>
      <c r="FB1618" s="1"/>
      <c r="FC1618" s="1"/>
      <c r="FD1618" s="1"/>
      <c r="FE1618" s="1"/>
      <c r="FF1618" s="1"/>
      <c r="FG1618" s="1"/>
      <c r="FH1618" s="1"/>
      <c r="FI1618" s="1"/>
      <c r="FJ1618" s="1"/>
      <c r="FK1618" s="1"/>
      <c r="FL1618" s="1"/>
      <c r="FM1618" s="1"/>
      <c r="FN1618" s="1"/>
      <c r="FO1618" s="1"/>
      <c r="FP1618" s="1"/>
      <c r="FQ1618" s="1"/>
      <c r="FR1618" s="1"/>
      <c r="FS1618" s="1"/>
      <c r="FT1618" s="1"/>
      <c r="FU1618" s="1"/>
      <c r="FV1618" s="1"/>
      <c r="FW1618" s="1"/>
      <c r="FX1618" s="1"/>
      <c r="FY1618" s="1"/>
      <c r="FZ1618" s="1"/>
      <c r="GA1618" s="1"/>
      <c r="GB1618" s="1"/>
      <c r="GC1618" s="1"/>
      <c r="GD1618" s="1"/>
      <c r="GE1618" s="1"/>
      <c r="GF1618" s="1"/>
      <c r="GG1618" s="1"/>
      <c r="GH1618" s="1"/>
      <c r="GI1618" s="1"/>
      <c r="GJ1618" s="1"/>
      <c r="GK1618" s="1"/>
      <c r="GL1618" s="1"/>
      <c r="GM1618" s="1"/>
      <c r="GN1618" s="1"/>
      <c r="GO1618" s="1"/>
      <c r="GP1618" s="1"/>
      <c r="GQ1618" s="1"/>
      <c r="GR1618" s="1"/>
      <c r="GS1618" s="1"/>
      <c r="GT1618" s="1"/>
      <c r="GU1618" s="1"/>
      <c r="GV1618" s="1"/>
      <c r="GW1618" s="1"/>
      <c r="GX1618" s="1"/>
      <c r="GY1618" s="1"/>
      <c r="GZ1618" s="1"/>
      <c r="HA1618" s="1"/>
      <c r="HB1618" s="1"/>
      <c r="HC1618" s="1"/>
      <c r="HD1618" s="1"/>
      <c r="HE1618" s="1"/>
      <c r="HF1618" s="1"/>
      <c r="HG1618" s="1"/>
      <c r="HH1618" s="1"/>
    </row>
    <row r="1619" spans="1:216" x14ac:dyDescent="0.3">
      <c r="A1619" s="3"/>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c r="FN1619" s="1"/>
      <c r="FO1619" s="1"/>
      <c r="FP1619" s="1"/>
      <c r="FQ1619" s="1"/>
      <c r="FR1619" s="1"/>
      <c r="FS1619" s="1"/>
      <c r="FT1619" s="1"/>
      <c r="FU1619" s="1"/>
      <c r="FV1619" s="1"/>
      <c r="FW1619" s="1"/>
      <c r="FX1619" s="1"/>
      <c r="FY1619" s="1"/>
      <c r="FZ1619" s="1"/>
      <c r="GA1619" s="1"/>
      <c r="GB1619" s="1"/>
      <c r="GC1619" s="1"/>
      <c r="GD1619" s="1"/>
      <c r="GE1619" s="1"/>
      <c r="GF1619" s="1"/>
      <c r="GG1619" s="1"/>
      <c r="GH1619" s="1"/>
      <c r="GI1619" s="1"/>
      <c r="GJ1619" s="1"/>
      <c r="GK1619" s="1"/>
      <c r="GL1619" s="1"/>
      <c r="GM1619" s="1"/>
      <c r="GN1619" s="1"/>
      <c r="GO1619" s="1"/>
      <c r="GP1619" s="1"/>
      <c r="GQ1619" s="1"/>
      <c r="GR1619" s="1"/>
      <c r="GS1619" s="1"/>
      <c r="GT1619" s="1"/>
      <c r="GU1619" s="1"/>
      <c r="GV1619" s="1"/>
      <c r="GW1619" s="1"/>
      <c r="GX1619" s="1"/>
      <c r="GY1619" s="1"/>
      <c r="GZ1619" s="1"/>
      <c r="HA1619" s="1"/>
      <c r="HB1619" s="1"/>
      <c r="HC1619" s="1"/>
      <c r="HD1619" s="1"/>
      <c r="HE1619" s="1"/>
      <c r="HF1619" s="1"/>
      <c r="HG1619" s="1"/>
      <c r="HH1619" s="1"/>
    </row>
    <row r="1620" spans="1:216" x14ac:dyDescent="0.3">
      <c r="A1620" s="3"/>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c r="FN1620" s="1"/>
      <c r="FO1620" s="1"/>
      <c r="FP1620" s="1"/>
      <c r="FQ1620" s="1"/>
      <c r="FR1620" s="1"/>
      <c r="FS1620" s="1"/>
      <c r="FT1620" s="1"/>
      <c r="FU1620" s="1"/>
      <c r="FV1620" s="1"/>
      <c r="FW1620" s="1"/>
      <c r="FX1620" s="1"/>
      <c r="FY1620" s="1"/>
      <c r="FZ1620" s="1"/>
      <c r="GA1620" s="1"/>
      <c r="GB1620" s="1"/>
      <c r="GC1620" s="1"/>
      <c r="GD1620" s="1"/>
      <c r="GE1620" s="1"/>
      <c r="GF1620" s="1"/>
      <c r="GG1620" s="1"/>
      <c r="GH1620" s="1"/>
      <c r="GI1620" s="1"/>
      <c r="GJ1620" s="1"/>
      <c r="GK1620" s="1"/>
      <c r="GL1620" s="1"/>
      <c r="GM1620" s="1"/>
      <c r="GN1620" s="1"/>
      <c r="GO1620" s="1"/>
      <c r="GP1620" s="1"/>
      <c r="GQ1620" s="1"/>
      <c r="GR1620" s="1"/>
      <c r="GS1620" s="1"/>
      <c r="GT1620" s="1"/>
      <c r="GU1620" s="1"/>
      <c r="GV1620" s="1"/>
      <c r="GW1620" s="1"/>
      <c r="GX1620" s="1"/>
      <c r="GY1620" s="1"/>
      <c r="GZ1620" s="1"/>
      <c r="HA1620" s="1"/>
      <c r="HB1620" s="1"/>
      <c r="HC1620" s="1"/>
      <c r="HD1620" s="1"/>
      <c r="HE1620" s="1"/>
      <c r="HF1620" s="1"/>
      <c r="HG1620" s="1"/>
      <c r="HH1620" s="1"/>
    </row>
    <row r="1621" spans="1:216" x14ac:dyDescent="0.3">
      <c r="A1621" s="3"/>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c r="EF1621" s="1"/>
      <c r="EG1621" s="1"/>
      <c r="EH1621" s="1"/>
      <c r="EI1621" s="1"/>
      <c r="EJ1621" s="1"/>
      <c r="EK1621" s="1"/>
      <c r="EL1621" s="1"/>
      <c r="EM1621" s="1"/>
      <c r="EN1621" s="1"/>
      <c r="EO1621" s="1"/>
      <c r="EP1621" s="1"/>
      <c r="EQ1621" s="1"/>
      <c r="ER1621" s="1"/>
      <c r="ES1621" s="1"/>
      <c r="ET1621" s="1"/>
      <c r="EU1621" s="1"/>
      <c r="EV1621" s="1"/>
      <c r="EW1621" s="1"/>
      <c r="EX1621" s="1"/>
      <c r="EY1621" s="1"/>
      <c r="EZ1621" s="1"/>
      <c r="FA1621" s="1"/>
      <c r="FB1621" s="1"/>
      <c r="FC1621" s="1"/>
      <c r="FD1621" s="1"/>
      <c r="FE1621" s="1"/>
      <c r="FF1621" s="1"/>
      <c r="FG1621" s="1"/>
      <c r="FH1621" s="1"/>
      <c r="FI1621" s="1"/>
      <c r="FJ1621" s="1"/>
      <c r="FK1621" s="1"/>
      <c r="FL1621" s="1"/>
      <c r="FM1621" s="1"/>
      <c r="FN1621" s="1"/>
      <c r="FO1621" s="1"/>
      <c r="FP1621" s="1"/>
      <c r="FQ1621" s="1"/>
      <c r="FR1621" s="1"/>
      <c r="FS1621" s="1"/>
      <c r="FT1621" s="1"/>
      <c r="FU1621" s="1"/>
      <c r="FV1621" s="1"/>
      <c r="FW1621" s="1"/>
      <c r="FX1621" s="1"/>
      <c r="FY1621" s="1"/>
      <c r="FZ1621" s="1"/>
      <c r="GA1621" s="1"/>
      <c r="GB1621" s="1"/>
      <c r="GC1621" s="1"/>
      <c r="GD1621" s="1"/>
      <c r="GE1621" s="1"/>
      <c r="GF1621" s="1"/>
      <c r="GG1621" s="1"/>
      <c r="GH1621" s="1"/>
      <c r="GI1621" s="1"/>
      <c r="GJ1621" s="1"/>
      <c r="GK1621" s="1"/>
      <c r="GL1621" s="1"/>
      <c r="GM1621" s="1"/>
      <c r="GN1621" s="1"/>
      <c r="GO1621" s="1"/>
      <c r="GP1621" s="1"/>
      <c r="GQ1621" s="1"/>
      <c r="GR1621" s="1"/>
      <c r="GS1621" s="1"/>
      <c r="GT1621" s="1"/>
      <c r="GU1621" s="1"/>
      <c r="GV1621" s="1"/>
      <c r="GW1621" s="1"/>
      <c r="GX1621" s="1"/>
      <c r="GY1621" s="1"/>
      <c r="GZ1621" s="1"/>
      <c r="HA1621" s="1"/>
      <c r="HB1621" s="1"/>
      <c r="HC1621" s="1"/>
      <c r="HD1621" s="1"/>
      <c r="HE1621" s="1"/>
      <c r="HF1621" s="1"/>
      <c r="HG1621" s="1"/>
      <c r="HH1621" s="1"/>
    </row>
    <row r="1622" spans="1:216" x14ac:dyDescent="0.3">
      <c r="A1622" s="3"/>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c r="FN1622" s="1"/>
      <c r="FO1622" s="1"/>
      <c r="FP1622" s="1"/>
      <c r="FQ1622" s="1"/>
      <c r="FR1622" s="1"/>
      <c r="FS1622" s="1"/>
      <c r="FT1622" s="1"/>
      <c r="FU1622" s="1"/>
      <c r="FV1622" s="1"/>
      <c r="FW1622" s="1"/>
      <c r="FX1622" s="1"/>
      <c r="FY1622" s="1"/>
      <c r="FZ1622" s="1"/>
      <c r="GA1622" s="1"/>
      <c r="GB1622" s="1"/>
      <c r="GC1622" s="1"/>
      <c r="GD1622" s="1"/>
      <c r="GE1622" s="1"/>
      <c r="GF1622" s="1"/>
      <c r="GG1622" s="1"/>
      <c r="GH1622" s="1"/>
      <c r="GI1622" s="1"/>
      <c r="GJ1622" s="1"/>
      <c r="GK1622" s="1"/>
      <c r="GL1622" s="1"/>
      <c r="GM1622" s="1"/>
      <c r="GN1622" s="1"/>
      <c r="GO1622" s="1"/>
      <c r="GP1622" s="1"/>
      <c r="GQ1622" s="1"/>
      <c r="GR1622" s="1"/>
      <c r="GS1622" s="1"/>
      <c r="GT1622" s="1"/>
      <c r="GU1622" s="1"/>
      <c r="GV1622" s="1"/>
      <c r="GW1622" s="1"/>
      <c r="GX1622" s="1"/>
      <c r="GY1622" s="1"/>
      <c r="GZ1622" s="1"/>
      <c r="HA1622" s="1"/>
      <c r="HB1622" s="1"/>
      <c r="HC1622" s="1"/>
      <c r="HD1622" s="1"/>
      <c r="HE1622" s="1"/>
      <c r="HF1622" s="1"/>
      <c r="HG1622" s="1"/>
      <c r="HH1622" s="1"/>
    </row>
    <row r="1623" spans="1:216" x14ac:dyDescent="0.3">
      <c r="A1623" s="3"/>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c r="FN1623" s="1"/>
      <c r="FO1623" s="1"/>
      <c r="FP1623" s="1"/>
      <c r="FQ1623" s="1"/>
      <c r="FR1623" s="1"/>
      <c r="FS1623" s="1"/>
      <c r="FT1623" s="1"/>
      <c r="FU1623" s="1"/>
      <c r="FV1623" s="1"/>
      <c r="FW1623" s="1"/>
      <c r="FX1623" s="1"/>
      <c r="FY1623" s="1"/>
      <c r="FZ1623" s="1"/>
      <c r="GA1623" s="1"/>
      <c r="GB1623" s="1"/>
      <c r="GC1623" s="1"/>
      <c r="GD1623" s="1"/>
      <c r="GE1623" s="1"/>
      <c r="GF1623" s="1"/>
      <c r="GG1623" s="1"/>
      <c r="GH1623" s="1"/>
      <c r="GI1623" s="1"/>
      <c r="GJ1623" s="1"/>
      <c r="GK1623" s="1"/>
      <c r="GL1623" s="1"/>
      <c r="GM1623" s="1"/>
      <c r="GN1623" s="1"/>
      <c r="GO1623" s="1"/>
      <c r="GP1623" s="1"/>
      <c r="GQ1623" s="1"/>
      <c r="GR1623" s="1"/>
      <c r="GS1623" s="1"/>
      <c r="GT1623" s="1"/>
      <c r="GU1623" s="1"/>
      <c r="GV1623" s="1"/>
      <c r="GW1623" s="1"/>
      <c r="GX1623" s="1"/>
      <c r="GY1623" s="1"/>
      <c r="GZ1623" s="1"/>
      <c r="HA1623" s="1"/>
      <c r="HB1623" s="1"/>
      <c r="HC1623" s="1"/>
      <c r="HD1623" s="1"/>
      <c r="HE1623" s="1"/>
      <c r="HF1623" s="1"/>
      <c r="HG1623" s="1"/>
      <c r="HH1623" s="1"/>
    </row>
    <row r="1624" spans="1:216" x14ac:dyDescent="0.3">
      <c r="A1624" s="3"/>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c r="FN1624" s="1"/>
      <c r="FO1624" s="1"/>
      <c r="FP1624" s="1"/>
      <c r="FQ1624" s="1"/>
      <c r="FR1624" s="1"/>
      <c r="FS1624" s="1"/>
      <c r="FT1624" s="1"/>
      <c r="FU1624" s="1"/>
      <c r="FV1624" s="1"/>
      <c r="FW1624" s="1"/>
      <c r="FX1624" s="1"/>
      <c r="FY1624" s="1"/>
      <c r="FZ1624" s="1"/>
      <c r="GA1624" s="1"/>
      <c r="GB1624" s="1"/>
      <c r="GC1624" s="1"/>
      <c r="GD1624" s="1"/>
      <c r="GE1624" s="1"/>
      <c r="GF1624" s="1"/>
      <c r="GG1624" s="1"/>
      <c r="GH1624" s="1"/>
      <c r="GI1624" s="1"/>
      <c r="GJ1624" s="1"/>
      <c r="GK1624" s="1"/>
      <c r="GL1624" s="1"/>
      <c r="GM1624" s="1"/>
      <c r="GN1624" s="1"/>
      <c r="GO1624" s="1"/>
      <c r="GP1624" s="1"/>
      <c r="GQ1624" s="1"/>
      <c r="GR1624" s="1"/>
      <c r="GS1624" s="1"/>
      <c r="GT1624" s="1"/>
      <c r="GU1624" s="1"/>
      <c r="GV1624" s="1"/>
      <c r="GW1624" s="1"/>
      <c r="GX1624" s="1"/>
      <c r="GY1624" s="1"/>
      <c r="GZ1624" s="1"/>
      <c r="HA1624" s="1"/>
      <c r="HB1624" s="1"/>
      <c r="HC1624" s="1"/>
      <c r="HD1624" s="1"/>
      <c r="HE1624" s="1"/>
      <c r="HF1624" s="1"/>
      <c r="HG1624" s="1"/>
      <c r="HH1624" s="1"/>
    </row>
    <row r="1625" spans="1:216" x14ac:dyDescent="0.3">
      <c r="A1625" s="3"/>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c r="FN1625" s="1"/>
      <c r="FO1625" s="1"/>
      <c r="FP1625" s="1"/>
      <c r="FQ1625" s="1"/>
      <c r="FR1625" s="1"/>
      <c r="FS1625" s="1"/>
      <c r="FT1625" s="1"/>
      <c r="FU1625" s="1"/>
      <c r="FV1625" s="1"/>
      <c r="FW1625" s="1"/>
      <c r="FX1625" s="1"/>
      <c r="FY1625" s="1"/>
      <c r="FZ1625" s="1"/>
      <c r="GA1625" s="1"/>
      <c r="GB1625" s="1"/>
      <c r="GC1625" s="1"/>
      <c r="GD1625" s="1"/>
      <c r="GE1625" s="1"/>
      <c r="GF1625" s="1"/>
      <c r="GG1625" s="1"/>
      <c r="GH1625" s="1"/>
      <c r="GI1625" s="1"/>
      <c r="GJ1625" s="1"/>
      <c r="GK1625" s="1"/>
      <c r="GL1625" s="1"/>
      <c r="GM1625" s="1"/>
      <c r="GN1625" s="1"/>
      <c r="GO1625" s="1"/>
      <c r="GP1625" s="1"/>
      <c r="GQ1625" s="1"/>
      <c r="GR1625" s="1"/>
      <c r="GS1625" s="1"/>
      <c r="GT1625" s="1"/>
      <c r="GU1625" s="1"/>
      <c r="GV1625" s="1"/>
      <c r="GW1625" s="1"/>
      <c r="GX1625" s="1"/>
      <c r="GY1625" s="1"/>
      <c r="GZ1625" s="1"/>
      <c r="HA1625" s="1"/>
      <c r="HB1625" s="1"/>
      <c r="HC1625" s="1"/>
      <c r="HD1625" s="1"/>
      <c r="HE1625" s="1"/>
      <c r="HF1625" s="1"/>
      <c r="HG1625" s="1"/>
      <c r="HH1625" s="1"/>
    </row>
    <row r="1626" spans="1:216" x14ac:dyDescent="0.3">
      <c r="A1626" s="3"/>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c r="FN1626" s="1"/>
      <c r="FO1626" s="1"/>
      <c r="FP1626" s="1"/>
      <c r="FQ1626" s="1"/>
      <c r="FR1626" s="1"/>
      <c r="FS1626" s="1"/>
      <c r="FT1626" s="1"/>
      <c r="FU1626" s="1"/>
      <c r="FV1626" s="1"/>
      <c r="FW1626" s="1"/>
      <c r="FX1626" s="1"/>
      <c r="FY1626" s="1"/>
      <c r="FZ1626" s="1"/>
      <c r="GA1626" s="1"/>
      <c r="GB1626" s="1"/>
      <c r="GC1626" s="1"/>
      <c r="GD1626" s="1"/>
      <c r="GE1626" s="1"/>
      <c r="GF1626" s="1"/>
      <c r="GG1626" s="1"/>
      <c r="GH1626" s="1"/>
      <c r="GI1626" s="1"/>
      <c r="GJ1626" s="1"/>
      <c r="GK1626" s="1"/>
      <c r="GL1626" s="1"/>
      <c r="GM1626" s="1"/>
      <c r="GN1626" s="1"/>
      <c r="GO1626" s="1"/>
      <c r="GP1626" s="1"/>
      <c r="GQ1626" s="1"/>
      <c r="GR1626" s="1"/>
      <c r="GS1626" s="1"/>
      <c r="GT1626" s="1"/>
      <c r="GU1626" s="1"/>
      <c r="GV1626" s="1"/>
      <c r="GW1626" s="1"/>
      <c r="GX1626" s="1"/>
      <c r="GY1626" s="1"/>
      <c r="GZ1626" s="1"/>
      <c r="HA1626" s="1"/>
      <c r="HB1626" s="1"/>
      <c r="HC1626" s="1"/>
      <c r="HD1626" s="1"/>
      <c r="HE1626" s="1"/>
      <c r="HF1626" s="1"/>
      <c r="HG1626" s="1"/>
      <c r="HH1626" s="1"/>
    </row>
    <row r="1627" spans="1:216" x14ac:dyDescent="0.3">
      <c r="A1627" s="3"/>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c r="FN1627" s="1"/>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c r="GL1627" s="1"/>
      <c r="GM1627" s="1"/>
      <c r="GN1627" s="1"/>
      <c r="GO1627" s="1"/>
      <c r="GP1627" s="1"/>
      <c r="GQ1627" s="1"/>
      <c r="GR1627" s="1"/>
      <c r="GS1627" s="1"/>
      <c r="GT1627" s="1"/>
      <c r="GU1627" s="1"/>
      <c r="GV1627" s="1"/>
      <c r="GW1627" s="1"/>
      <c r="GX1627" s="1"/>
      <c r="GY1627" s="1"/>
      <c r="GZ1627" s="1"/>
      <c r="HA1627" s="1"/>
      <c r="HB1627" s="1"/>
      <c r="HC1627" s="1"/>
      <c r="HD1627" s="1"/>
      <c r="HE1627" s="1"/>
      <c r="HF1627" s="1"/>
      <c r="HG1627" s="1"/>
      <c r="HH1627" s="1"/>
    </row>
    <row r="1628" spans="1:216" x14ac:dyDescent="0.3">
      <c r="A1628" s="3"/>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c r="FN1628" s="1"/>
      <c r="FO1628" s="1"/>
      <c r="FP1628" s="1"/>
      <c r="FQ1628" s="1"/>
      <c r="FR1628" s="1"/>
      <c r="FS1628" s="1"/>
      <c r="FT1628" s="1"/>
      <c r="FU1628" s="1"/>
      <c r="FV1628" s="1"/>
      <c r="FW1628" s="1"/>
      <c r="FX1628" s="1"/>
      <c r="FY1628" s="1"/>
      <c r="FZ1628" s="1"/>
      <c r="GA1628" s="1"/>
      <c r="GB1628" s="1"/>
      <c r="GC1628" s="1"/>
      <c r="GD1628" s="1"/>
      <c r="GE1628" s="1"/>
      <c r="GF1628" s="1"/>
      <c r="GG1628" s="1"/>
      <c r="GH1628" s="1"/>
      <c r="GI1628" s="1"/>
      <c r="GJ1628" s="1"/>
      <c r="GK1628" s="1"/>
      <c r="GL1628" s="1"/>
      <c r="GM1628" s="1"/>
      <c r="GN1628" s="1"/>
      <c r="GO1628" s="1"/>
      <c r="GP1628" s="1"/>
      <c r="GQ1628" s="1"/>
      <c r="GR1628" s="1"/>
      <c r="GS1628" s="1"/>
      <c r="GT1628" s="1"/>
      <c r="GU1628" s="1"/>
      <c r="GV1628" s="1"/>
      <c r="GW1628" s="1"/>
      <c r="GX1628" s="1"/>
      <c r="GY1628" s="1"/>
      <c r="GZ1628" s="1"/>
      <c r="HA1628" s="1"/>
      <c r="HB1628" s="1"/>
      <c r="HC1628" s="1"/>
      <c r="HD1628" s="1"/>
      <c r="HE1628" s="1"/>
      <c r="HF1628" s="1"/>
      <c r="HG1628" s="1"/>
      <c r="HH1628" s="1"/>
    </row>
    <row r="1629" spans="1:216" x14ac:dyDescent="0.3">
      <c r="A1629" s="3"/>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c r="GL1629" s="1"/>
      <c r="GM1629" s="1"/>
      <c r="GN1629" s="1"/>
      <c r="GO1629" s="1"/>
      <c r="GP1629" s="1"/>
      <c r="GQ1629" s="1"/>
      <c r="GR1629" s="1"/>
      <c r="GS1629" s="1"/>
      <c r="GT1629" s="1"/>
      <c r="GU1629" s="1"/>
      <c r="GV1629" s="1"/>
      <c r="GW1629" s="1"/>
      <c r="GX1629" s="1"/>
      <c r="GY1629" s="1"/>
      <c r="GZ1629" s="1"/>
      <c r="HA1629" s="1"/>
      <c r="HB1629" s="1"/>
      <c r="HC1629" s="1"/>
      <c r="HD1629" s="1"/>
      <c r="HE1629" s="1"/>
      <c r="HF1629" s="1"/>
      <c r="HG1629" s="1"/>
      <c r="HH1629" s="1"/>
    </row>
    <row r="1630" spans="1:216" x14ac:dyDescent="0.3">
      <c r="A1630" s="3"/>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c r="GL1630" s="1"/>
      <c r="GM1630" s="1"/>
      <c r="GN1630" s="1"/>
      <c r="GO1630" s="1"/>
      <c r="GP1630" s="1"/>
      <c r="GQ1630" s="1"/>
      <c r="GR1630" s="1"/>
      <c r="GS1630" s="1"/>
      <c r="GT1630" s="1"/>
      <c r="GU1630" s="1"/>
      <c r="GV1630" s="1"/>
      <c r="GW1630" s="1"/>
      <c r="GX1630" s="1"/>
      <c r="GY1630" s="1"/>
      <c r="GZ1630" s="1"/>
      <c r="HA1630" s="1"/>
      <c r="HB1630" s="1"/>
      <c r="HC1630" s="1"/>
      <c r="HD1630" s="1"/>
      <c r="HE1630" s="1"/>
      <c r="HF1630" s="1"/>
      <c r="HG1630" s="1"/>
      <c r="HH1630" s="1"/>
    </row>
    <row r="1631" spans="1:216" x14ac:dyDescent="0.3">
      <c r="A1631" s="3"/>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GS1631" s="1"/>
      <c r="GT1631" s="1"/>
      <c r="GU1631" s="1"/>
      <c r="GV1631" s="1"/>
      <c r="GW1631" s="1"/>
      <c r="GX1631" s="1"/>
      <c r="GY1631" s="1"/>
      <c r="GZ1631" s="1"/>
      <c r="HA1631" s="1"/>
      <c r="HB1631" s="1"/>
      <c r="HC1631" s="1"/>
      <c r="HD1631" s="1"/>
      <c r="HE1631" s="1"/>
      <c r="HF1631" s="1"/>
      <c r="HG1631" s="1"/>
      <c r="HH1631" s="1"/>
    </row>
    <row r="1632" spans="1:216" x14ac:dyDescent="0.3">
      <c r="A1632" s="3"/>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c r="EF1632" s="1"/>
      <c r="EG1632" s="1"/>
      <c r="EH1632" s="1"/>
      <c r="EI1632" s="1"/>
      <c r="EJ1632" s="1"/>
      <c r="EK1632" s="1"/>
      <c r="EL1632" s="1"/>
      <c r="EM1632" s="1"/>
      <c r="EN1632" s="1"/>
      <c r="EO1632" s="1"/>
      <c r="EP1632" s="1"/>
      <c r="EQ1632" s="1"/>
      <c r="ER1632" s="1"/>
      <c r="ES1632" s="1"/>
      <c r="ET1632" s="1"/>
      <c r="EU1632" s="1"/>
      <c r="EV1632" s="1"/>
      <c r="EW1632" s="1"/>
      <c r="EX1632" s="1"/>
      <c r="EY1632" s="1"/>
      <c r="EZ1632" s="1"/>
      <c r="FA1632" s="1"/>
      <c r="FB1632" s="1"/>
      <c r="FC1632" s="1"/>
      <c r="FD1632" s="1"/>
      <c r="FE1632" s="1"/>
      <c r="FF1632" s="1"/>
      <c r="FG1632" s="1"/>
      <c r="FH1632" s="1"/>
      <c r="FI1632" s="1"/>
      <c r="FJ1632" s="1"/>
      <c r="FK1632" s="1"/>
      <c r="FL1632" s="1"/>
      <c r="FM1632" s="1"/>
      <c r="FN1632" s="1"/>
      <c r="FO1632" s="1"/>
      <c r="FP1632" s="1"/>
      <c r="FQ1632" s="1"/>
      <c r="FR1632" s="1"/>
      <c r="FS1632" s="1"/>
      <c r="FT1632" s="1"/>
      <c r="FU1632" s="1"/>
      <c r="FV1632" s="1"/>
      <c r="FW1632" s="1"/>
      <c r="FX1632" s="1"/>
      <c r="FY1632" s="1"/>
      <c r="FZ1632" s="1"/>
      <c r="GA1632" s="1"/>
      <c r="GB1632" s="1"/>
      <c r="GC1632" s="1"/>
      <c r="GD1632" s="1"/>
      <c r="GE1632" s="1"/>
      <c r="GF1632" s="1"/>
      <c r="GG1632" s="1"/>
      <c r="GH1632" s="1"/>
      <c r="GI1632" s="1"/>
      <c r="GJ1632" s="1"/>
      <c r="GK1632" s="1"/>
      <c r="GL1632" s="1"/>
      <c r="GM1632" s="1"/>
      <c r="GN1632" s="1"/>
      <c r="GO1632" s="1"/>
      <c r="GP1632" s="1"/>
      <c r="GQ1632" s="1"/>
      <c r="GR1632" s="1"/>
      <c r="GS1632" s="1"/>
      <c r="GT1632" s="1"/>
      <c r="GU1632" s="1"/>
      <c r="GV1632" s="1"/>
      <c r="GW1632" s="1"/>
      <c r="GX1632" s="1"/>
      <c r="GY1632" s="1"/>
      <c r="GZ1632" s="1"/>
      <c r="HA1632" s="1"/>
      <c r="HB1632" s="1"/>
      <c r="HC1632" s="1"/>
      <c r="HD1632" s="1"/>
      <c r="HE1632" s="1"/>
      <c r="HF1632" s="1"/>
      <c r="HG1632" s="1"/>
      <c r="HH1632" s="1"/>
    </row>
    <row r="1633" spans="1:216" x14ac:dyDescent="0.3">
      <c r="A1633" s="3"/>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c r="GL1633" s="1"/>
      <c r="GM1633" s="1"/>
      <c r="GN1633" s="1"/>
      <c r="GO1633" s="1"/>
      <c r="GP1633" s="1"/>
      <c r="GQ1633" s="1"/>
      <c r="GR1633" s="1"/>
      <c r="GS1633" s="1"/>
      <c r="GT1633" s="1"/>
      <c r="GU1633" s="1"/>
      <c r="GV1633" s="1"/>
      <c r="GW1633" s="1"/>
      <c r="GX1633" s="1"/>
      <c r="GY1633" s="1"/>
      <c r="GZ1633" s="1"/>
      <c r="HA1633" s="1"/>
      <c r="HB1633" s="1"/>
      <c r="HC1633" s="1"/>
      <c r="HD1633" s="1"/>
      <c r="HE1633" s="1"/>
      <c r="HF1633" s="1"/>
      <c r="HG1633" s="1"/>
      <c r="HH1633" s="1"/>
    </row>
    <row r="1634" spans="1:216" x14ac:dyDescent="0.3">
      <c r="A1634" s="3"/>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c r="GL1634" s="1"/>
      <c r="GM1634" s="1"/>
      <c r="GN1634" s="1"/>
      <c r="GO1634" s="1"/>
      <c r="GP1634" s="1"/>
      <c r="GQ1634" s="1"/>
      <c r="GR1634" s="1"/>
      <c r="GS1634" s="1"/>
      <c r="GT1634" s="1"/>
      <c r="GU1634" s="1"/>
      <c r="GV1634" s="1"/>
      <c r="GW1634" s="1"/>
      <c r="GX1634" s="1"/>
      <c r="GY1634" s="1"/>
      <c r="GZ1634" s="1"/>
      <c r="HA1634" s="1"/>
      <c r="HB1634" s="1"/>
      <c r="HC1634" s="1"/>
      <c r="HD1634" s="1"/>
      <c r="HE1634" s="1"/>
      <c r="HF1634" s="1"/>
      <c r="HG1634" s="1"/>
      <c r="HH1634" s="1"/>
    </row>
    <row r="1635" spans="1:216" x14ac:dyDescent="0.3">
      <c r="A1635" s="3"/>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c r="FN1635" s="1"/>
      <c r="FO1635" s="1"/>
      <c r="FP1635" s="1"/>
      <c r="FQ1635" s="1"/>
      <c r="FR1635" s="1"/>
      <c r="FS1635" s="1"/>
      <c r="FT1635" s="1"/>
      <c r="FU1635" s="1"/>
      <c r="FV1635" s="1"/>
      <c r="FW1635" s="1"/>
      <c r="FX1635" s="1"/>
      <c r="FY1635" s="1"/>
      <c r="FZ1635" s="1"/>
      <c r="GA1635" s="1"/>
      <c r="GB1635" s="1"/>
      <c r="GC1635" s="1"/>
      <c r="GD1635" s="1"/>
      <c r="GE1635" s="1"/>
      <c r="GF1635" s="1"/>
      <c r="GG1635" s="1"/>
      <c r="GH1635" s="1"/>
      <c r="GI1635" s="1"/>
      <c r="GJ1635" s="1"/>
      <c r="GK1635" s="1"/>
      <c r="GL1635" s="1"/>
      <c r="GM1635" s="1"/>
      <c r="GN1635" s="1"/>
      <c r="GO1635" s="1"/>
      <c r="GP1635" s="1"/>
      <c r="GQ1635" s="1"/>
      <c r="GR1635" s="1"/>
      <c r="GS1635" s="1"/>
      <c r="GT1635" s="1"/>
      <c r="GU1635" s="1"/>
      <c r="GV1635" s="1"/>
      <c r="GW1635" s="1"/>
      <c r="GX1635" s="1"/>
      <c r="GY1635" s="1"/>
      <c r="GZ1635" s="1"/>
      <c r="HA1635" s="1"/>
      <c r="HB1635" s="1"/>
      <c r="HC1635" s="1"/>
      <c r="HD1635" s="1"/>
      <c r="HE1635" s="1"/>
      <c r="HF1635" s="1"/>
      <c r="HG1635" s="1"/>
      <c r="HH1635" s="1"/>
    </row>
    <row r="1636" spans="1:216" x14ac:dyDescent="0.3">
      <c r="A1636" s="3"/>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c r="GL1636" s="1"/>
      <c r="GM1636" s="1"/>
      <c r="GN1636" s="1"/>
      <c r="GO1636" s="1"/>
      <c r="GP1636" s="1"/>
      <c r="GQ1636" s="1"/>
      <c r="GR1636" s="1"/>
      <c r="GS1636" s="1"/>
      <c r="GT1636" s="1"/>
      <c r="GU1636" s="1"/>
      <c r="GV1636" s="1"/>
      <c r="GW1636" s="1"/>
      <c r="GX1636" s="1"/>
      <c r="GY1636" s="1"/>
      <c r="GZ1636" s="1"/>
      <c r="HA1636" s="1"/>
      <c r="HB1636" s="1"/>
      <c r="HC1636" s="1"/>
      <c r="HD1636" s="1"/>
      <c r="HE1636" s="1"/>
      <c r="HF1636" s="1"/>
      <c r="HG1636" s="1"/>
      <c r="HH1636" s="1"/>
    </row>
    <row r="1637" spans="1:216" x14ac:dyDescent="0.3">
      <c r="A1637" s="3"/>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c r="FN1637" s="1"/>
      <c r="FO1637" s="1"/>
      <c r="FP1637" s="1"/>
      <c r="FQ1637" s="1"/>
      <c r="FR1637" s="1"/>
      <c r="FS1637" s="1"/>
      <c r="FT1637" s="1"/>
      <c r="FU1637" s="1"/>
      <c r="FV1637" s="1"/>
      <c r="FW1637" s="1"/>
      <c r="FX1637" s="1"/>
      <c r="FY1637" s="1"/>
      <c r="FZ1637" s="1"/>
      <c r="GA1637" s="1"/>
      <c r="GB1637" s="1"/>
      <c r="GC1637" s="1"/>
      <c r="GD1637" s="1"/>
      <c r="GE1637" s="1"/>
      <c r="GF1637" s="1"/>
      <c r="GG1637" s="1"/>
      <c r="GH1637" s="1"/>
      <c r="GI1637" s="1"/>
      <c r="GJ1637" s="1"/>
      <c r="GK1637" s="1"/>
      <c r="GL1637" s="1"/>
      <c r="GM1637" s="1"/>
      <c r="GN1637" s="1"/>
      <c r="GO1637" s="1"/>
      <c r="GP1637" s="1"/>
      <c r="GQ1637" s="1"/>
      <c r="GR1637" s="1"/>
      <c r="GS1637" s="1"/>
      <c r="GT1637" s="1"/>
      <c r="GU1637" s="1"/>
      <c r="GV1637" s="1"/>
      <c r="GW1637" s="1"/>
      <c r="GX1637" s="1"/>
      <c r="GY1637" s="1"/>
      <c r="GZ1637" s="1"/>
      <c r="HA1637" s="1"/>
      <c r="HB1637" s="1"/>
      <c r="HC1637" s="1"/>
      <c r="HD1637" s="1"/>
      <c r="HE1637" s="1"/>
      <c r="HF1637" s="1"/>
      <c r="HG1637" s="1"/>
      <c r="HH1637" s="1"/>
    </row>
    <row r="1638" spans="1:216" x14ac:dyDescent="0.3">
      <c r="A1638" s="3"/>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c r="FN1638" s="1"/>
      <c r="FO1638" s="1"/>
      <c r="FP1638" s="1"/>
      <c r="FQ1638" s="1"/>
      <c r="FR1638" s="1"/>
      <c r="FS1638" s="1"/>
      <c r="FT1638" s="1"/>
      <c r="FU1638" s="1"/>
      <c r="FV1638" s="1"/>
      <c r="FW1638" s="1"/>
      <c r="FX1638" s="1"/>
      <c r="FY1638" s="1"/>
      <c r="FZ1638" s="1"/>
      <c r="GA1638" s="1"/>
      <c r="GB1638" s="1"/>
      <c r="GC1638" s="1"/>
      <c r="GD1638" s="1"/>
      <c r="GE1638" s="1"/>
      <c r="GF1638" s="1"/>
      <c r="GG1638" s="1"/>
      <c r="GH1638" s="1"/>
      <c r="GI1638" s="1"/>
      <c r="GJ1638" s="1"/>
      <c r="GK1638" s="1"/>
      <c r="GL1638" s="1"/>
      <c r="GM1638" s="1"/>
      <c r="GN1638" s="1"/>
      <c r="GO1638" s="1"/>
      <c r="GP1638" s="1"/>
      <c r="GQ1638" s="1"/>
      <c r="GR1638" s="1"/>
      <c r="GS1638" s="1"/>
      <c r="GT1638" s="1"/>
      <c r="GU1638" s="1"/>
      <c r="GV1638" s="1"/>
      <c r="GW1638" s="1"/>
      <c r="GX1638" s="1"/>
      <c r="GY1638" s="1"/>
      <c r="GZ1638" s="1"/>
      <c r="HA1638" s="1"/>
      <c r="HB1638" s="1"/>
      <c r="HC1638" s="1"/>
      <c r="HD1638" s="1"/>
      <c r="HE1638" s="1"/>
      <c r="HF1638" s="1"/>
      <c r="HG1638" s="1"/>
      <c r="HH1638" s="1"/>
    </row>
    <row r="1639" spans="1:216" x14ac:dyDescent="0.3">
      <c r="A1639" s="3"/>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c r="FN1639" s="1"/>
      <c r="FO1639" s="1"/>
      <c r="FP1639" s="1"/>
      <c r="FQ1639" s="1"/>
      <c r="FR1639" s="1"/>
      <c r="FS1639" s="1"/>
      <c r="FT1639" s="1"/>
      <c r="FU1639" s="1"/>
      <c r="FV1639" s="1"/>
      <c r="FW1639" s="1"/>
      <c r="FX1639" s="1"/>
      <c r="FY1639" s="1"/>
      <c r="FZ1639" s="1"/>
      <c r="GA1639" s="1"/>
      <c r="GB1639" s="1"/>
      <c r="GC1639" s="1"/>
      <c r="GD1639" s="1"/>
      <c r="GE1639" s="1"/>
      <c r="GF1639" s="1"/>
      <c r="GG1639" s="1"/>
      <c r="GH1639" s="1"/>
      <c r="GI1639" s="1"/>
      <c r="GJ1639" s="1"/>
      <c r="GK1639" s="1"/>
      <c r="GL1639" s="1"/>
      <c r="GM1639" s="1"/>
      <c r="GN1639" s="1"/>
      <c r="GO1639" s="1"/>
      <c r="GP1639" s="1"/>
      <c r="GQ1639" s="1"/>
      <c r="GR1639" s="1"/>
      <c r="GS1639" s="1"/>
      <c r="GT1639" s="1"/>
      <c r="GU1639" s="1"/>
      <c r="GV1639" s="1"/>
      <c r="GW1639" s="1"/>
      <c r="GX1639" s="1"/>
      <c r="GY1639" s="1"/>
      <c r="GZ1639" s="1"/>
      <c r="HA1639" s="1"/>
      <c r="HB1639" s="1"/>
      <c r="HC1639" s="1"/>
      <c r="HD1639" s="1"/>
      <c r="HE1639" s="1"/>
      <c r="HF1639" s="1"/>
      <c r="HG1639" s="1"/>
      <c r="HH1639" s="1"/>
    </row>
    <row r="1640" spans="1:216" x14ac:dyDescent="0.3">
      <c r="A1640" s="3"/>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c r="EF1640" s="1"/>
      <c r="EG1640" s="1"/>
      <c r="EH1640" s="1"/>
      <c r="EI1640" s="1"/>
      <c r="EJ1640" s="1"/>
      <c r="EK1640" s="1"/>
      <c r="EL1640" s="1"/>
      <c r="EM1640" s="1"/>
      <c r="EN1640" s="1"/>
      <c r="EO1640" s="1"/>
      <c r="EP1640" s="1"/>
      <c r="EQ1640" s="1"/>
      <c r="ER1640" s="1"/>
      <c r="ES1640" s="1"/>
      <c r="ET1640" s="1"/>
      <c r="EU1640" s="1"/>
      <c r="EV1640" s="1"/>
      <c r="EW1640" s="1"/>
      <c r="EX1640" s="1"/>
      <c r="EY1640" s="1"/>
      <c r="EZ1640" s="1"/>
      <c r="FA1640" s="1"/>
      <c r="FB1640" s="1"/>
      <c r="FC1640" s="1"/>
      <c r="FD1640" s="1"/>
      <c r="FE1640" s="1"/>
      <c r="FF1640" s="1"/>
      <c r="FG1640" s="1"/>
      <c r="FH1640" s="1"/>
      <c r="FI1640" s="1"/>
      <c r="FJ1640" s="1"/>
      <c r="FK1640" s="1"/>
      <c r="FL1640" s="1"/>
      <c r="FM1640" s="1"/>
      <c r="FN1640" s="1"/>
      <c r="FO1640" s="1"/>
      <c r="FP1640" s="1"/>
      <c r="FQ1640" s="1"/>
      <c r="FR1640" s="1"/>
      <c r="FS1640" s="1"/>
      <c r="FT1640" s="1"/>
      <c r="FU1640" s="1"/>
      <c r="FV1640" s="1"/>
      <c r="FW1640" s="1"/>
      <c r="FX1640" s="1"/>
      <c r="FY1640" s="1"/>
      <c r="FZ1640" s="1"/>
      <c r="GA1640" s="1"/>
      <c r="GB1640" s="1"/>
      <c r="GC1640" s="1"/>
      <c r="GD1640" s="1"/>
      <c r="GE1640" s="1"/>
      <c r="GF1640" s="1"/>
      <c r="GG1640" s="1"/>
      <c r="GH1640" s="1"/>
      <c r="GI1640" s="1"/>
      <c r="GJ1640" s="1"/>
      <c r="GK1640" s="1"/>
      <c r="GL1640" s="1"/>
      <c r="GM1640" s="1"/>
      <c r="GN1640" s="1"/>
      <c r="GO1640" s="1"/>
      <c r="GP1640" s="1"/>
      <c r="GQ1640" s="1"/>
      <c r="GR1640" s="1"/>
      <c r="GS1640" s="1"/>
      <c r="GT1640" s="1"/>
      <c r="GU1640" s="1"/>
      <c r="GV1640" s="1"/>
      <c r="GW1640" s="1"/>
      <c r="GX1640" s="1"/>
      <c r="GY1640" s="1"/>
      <c r="GZ1640" s="1"/>
      <c r="HA1640" s="1"/>
      <c r="HB1640" s="1"/>
      <c r="HC1640" s="1"/>
      <c r="HD1640" s="1"/>
      <c r="HE1640" s="1"/>
      <c r="HF1640" s="1"/>
      <c r="HG1640" s="1"/>
      <c r="HH1640" s="1"/>
    </row>
    <row r="1641" spans="1:216" x14ac:dyDescent="0.3">
      <c r="A1641" s="3"/>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c r="GL1641" s="1"/>
      <c r="GM1641" s="1"/>
      <c r="GN1641" s="1"/>
      <c r="GO1641" s="1"/>
      <c r="GP1641" s="1"/>
      <c r="GQ1641" s="1"/>
      <c r="GR1641" s="1"/>
      <c r="GS1641" s="1"/>
      <c r="GT1641" s="1"/>
      <c r="GU1641" s="1"/>
      <c r="GV1641" s="1"/>
      <c r="GW1641" s="1"/>
      <c r="GX1641" s="1"/>
      <c r="GY1641" s="1"/>
      <c r="GZ1641" s="1"/>
      <c r="HA1641" s="1"/>
      <c r="HB1641" s="1"/>
      <c r="HC1641" s="1"/>
      <c r="HD1641" s="1"/>
      <c r="HE1641" s="1"/>
      <c r="HF1641" s="1"/>
      <c r="HG1641" s="1"/>
      <c r="HH1641" s="1"/>
    </row>
    <row r="1642" spans="1:216" x14ac:dyDescent="0.3">
      <c r="A1642" s="3"/>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c r="GL1642" s="1"/>
      <c r="GM1642" s="1"/>
      <c r="GN1642" s="1"/>
      <c r="GO1642" s="1"/>
      <c r="GP1642" s="1"/>
      <c r="GQ1642" s="1"/>
      <c r="GR1642" s="1"/>
      <c r="GS1642" s="1"/>
      <c r="GT1642" s="1"/>
      <c r="GU1642" s="1"/>
      <c r="GV1642" s="1"/>
      <c r="GW1642" s="1"/>
      <c r="GX1642" s="1"/>
      <c r="GY1642" s="1"/>
      <c r="GZ1642" s="1"/>
      <c r="HA1642" s="1"/>
      <c r="HB1642" s="1"/>
      <c r="HC1642" s="1"/>
      <c r="HD1642" s="1"/>
      <c r="HE1642" s="1"/>
      <c r="HF1642" s="1"/>
      <c r="HG1642" s="1"/>
      <c r="HH1642" s="1"/>
    </row>
    <row r="1643" spans="1:216" x14ac:dyDescent="0.3">
      <c r="A1643" s="3"/>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c r="GL1643" s="1"/>
      <c r="GM1643" s="1"/>
      <c r="GN1643" s="1"/>
      <c r="GO1643" s="1"/>
      <c r="GP1643" s="1"/>
      <c r="GQ1643" s="1"/>
      <c r="GR1643" s="1"/>
      <c r="GS1643" s="1"/>
      <c r="GT1643" s="1"/>
      <c r="GU1643" s="1"/>
      <c r="GV1643" s="1"/>
      <c r="GW1643" s="1"/>
      <c r="GX1643" s="1"/>
      <c r="GY1643" s="1"/>
      <c r="GZ1643" s="1"/>
      <c r="HA1643" s="1"/>
      <c r="HB1643" s="1"/>
      <c r="HC1643" s="1"/>
      <c r="HD1643" s="1"/>
      <c r="HE1643" s="1"/>
      <c r="HF1643" s="1"/>
      <c r="HG1643" s="1"/>
      <c r="HH1643" s="1"/>
    </row>
    <row r="1644" spans="1:216" x14ac:dyDescent="0.3">
      <c r="A1644" s="3"/>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c r="FN1644" s="1"/>
      <c r="FO1644" s="1"/>
      <c r="FP1644" s="1"/>
      <c r="FQ1644" s="1"/>
      <c r="FR1644" s="1"/>
      <c r="FS1644" s="1"/>
      <c r="FT1644" s="1"/>
      <c r="FU1644" s="1"/>
      <c r="FV1644" s="1"/>
      <c r="FW1644" s="1"/>
      <c r="FX1644" s="1"/>
      <c r="FY1644" s="1"/>
      <c r="FZ1644" s="1"/>
      <c r="GA1644" s="1"/>
      <c r="GB1644" s="1"/>
      <c r="GC1644" s="1"/>
      <c r="GD1644" s="1"/>
      <c r="GE1644" s="1"/>
      <c r="GF1644" s="1"/>
      <c r="GG1644" s="1"/>
      <c r="GH1644" s="1"/>
      <c r="GI1644" s="1"/>
      <c r="GJ1644" s="1"/>
      <c r="GK1644" s="1"/>
      <c r="GL1644" s="1"/>
      <c r="GM1644" s="1"/>
      <c r="GN1644" s="1"/>
      <c r="GO1644" s="1"/>
      <c r="GP1644" s="1"/>
      <c r="GQ1644" s="1"/>
      <c r="GR1644" s="1"/>
      <c r="GS1644" s="1"/>
      <c r="GT1644" s="1"/>
      <c r="GU1644" s="1"/>
      <c r="GV1644" s="1"/>
      <c r="GW1644" s="1"/>
      <c r="GX1644" s="1"/>
      <c r="GY1644" s="1"/>
      <c r="GZ1644" s="1"/>
      <c r="HA1644" s="1"/>
      <c r="HB1644" s="1"/>
      <c r="HC1644" s="1"/>
      <c r="HD1644" s="1"/>
      <c r="HE1644" s="1"/>
      <c r="HF1644" s="1"/>
      <c r="HG1644" s="1"/>
      <c r="HH1644" s="1"/>
    </row>
    <row r="1645" spans="1:216" x14ac:dyDescent="0.3">
      <c r="A1645" s="3"/>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c r="GL1645" s="1"/>
      <c r="GM1645" s="1"/>
      <c r="GN1645" s="1"/>
      <c r="GO1645" s="1"/>
      <c r="GP1645" s="1"/>
      <c r="GQ1645" s="1"/>
      <c r="GR1645" s="1"/>
      <c r="GS1645" s="1"/>
      <c r="GT1645" s="1"/>
      <c r="GU1645" s="1"/>
      <c r="GV1645" s="1"/>
      <c r="GW1645" s="1"/>
      <c r="GX1645" s="1"/>
      <c r="GY1645" s="1"/>
      <c r="GZ1645" s="1"/>
      <c r="HA1645" s="1"/>
      <c r="HB1645" s="1"/>
      <c r="HC1645" s="1"/>
      <c r="HD1645" s="1"/>
      <c r="HE1645" s="1"/>
      <c r="HF1645" s="1"/>
      <c r="HG1645" s="1"/>
      <c r="HH1645" s="1"/>
    </row>
    <row r="1646" spans="1:216" x14ac:dyDescent="0.3">
      <c r="A1646" s="3"/>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c r="FN1646" s="1"/>
      <c r="FO1646" s="1"/>
      <c r="FP1646" s="1"/>
      <c r="FQ1646" s="1"/>
      <c r="FR1646" s="1"/>
      <c r="FS1646" s="1"/>
      <c r="FT1646" s="1"/>
      <c r="FU1646" s="1"/>
      <c r="FV1646" s="1"/>
      <c r="FW1646" s="1"/>
      <c r="FX1646" s="1"/>
      <c r="FY1646" s="1"/>
      <c r="FZ1646" s="1"/>
      <c r="GA1646" s="1"/>
      <c r="GB1646" s="1"/>
      <c r="GC1646" s="1"/>
      <c r="GD1646" s="1"/>
      <c r="GE1646" s="1"/>
      <c r="GF1646" s="1"/>
      <c r="GG1646" s="1"/>
      <c r="GH1646" s="1"/>
      <c r="GI1646" s="1"/>
      <c r="GJ1646" s="1"/>
      <c r="GK1646" s="1"/>
      <c r="GL1646" s="1"/>
      <c r="GM1646" s="1"/>
      <c r="GN1646" s="1"/>
      <c r="GO1646" s="1"/>
      <c r="GP1646" s="1"/>
      <c r="GQ1646" s="1"/>
      <c r="GR1646" s="1"/>
      <c r="GS1646" s="1"/>
      <c r="GT1646" s="1"/>
      <c r="GU1646" s="1"/>
      <c r="GV1646" s="1"/>
      <c r="GW1646" s="1"/>
      <c r="GX1646" s="1"/>
      <c r="GY1646" s="1"/>
      <c r="GZ1646" s="1"/>
      <c r="HA1646" s="1"/>
      <c r="HB1646" s="1"/>
      <c r="HC1646" s="1"/>
      <c r="HD1646" s="1"/>
      <c r="HE1646" s="1"/>
      <c r="HF1646" s="1"/>
      <c r="HG1646" s="1"/>
      <c r="HH1646" s="1"/>
    </row>
    <row r="1647" spans="1:216" x14ac:dyDescent="0.3">
      <c r="A1647" s="3"/>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c r="GL1647" s="1"/>
      <c r="GM1647" s="1"/>
      <c r="GN1647" s="1"/>
      <c r="GO1647" s="1"/>
      <c r="GP1647" s="1"/>
      <c r="GQ1647" s="1"/>
      <c r="GR1647" s="1"/>
      <c r="GS1647" s="1"/>
      <c r="GT1647" s="1"/>
      <c r="GU1647" s="1"/>
      <c r="GV1647" s="1"/>
      <c r="GW1647" s="1"/>
      <c r="GX1647" s="1"/>
      <c r="GY1647" s="1"/>
      <c r="GZ1647" s="1"/>
      <c r="HA1647" s="1"/>
      <c r="HB1647" s="1"/>
      <c r="HC1647" s="1"/>
      <c r="HD1647" s="1"/>
      <c r="HE1647" s="1"/>
      <c r="HF1647" s="1"/>
      <c r="HG1647" s="1"/>
      <c r="HH1647" s="1"/>
    </row>
    <row r="1648" spans="1:216" x14ac:dyDescent="0.3">
      <c r="A1648" s="3"/>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c r="FI1648" s="1"/>
      <c r="FJ1648" s="1"/>
      <c r="FK1648" s="1"/>
      <c r="FL1648" s="1"/>
      <c r="FM1648" s="1"/>
      <c r="FN1648" s="1"/>
      <c r="FO1648" s="1"/>
      <c r="FP1648" s="1"/>
      <c r="FQ1648" s="1"/>
      <c r="FR1648" s="1"/>
      <c r="FS1648" s="1"/>
      <c r="FT1648" s="1"/>
      <c r="FU1648" s="1"/>
      <c r="FV1648" s="1"/>
      <c r="FW1648" s="1"/>
      <c r="FX1648" s="1"/>
      <c r="FY1648" s="1"/>
      <c r="FZ1648" s="1"/>
      <c r="GA1648" s="1"/>
      <c r="GB1648" s="1"/>
      <c r="GC1648" s="1"/>
      <c r="GD1648" s="1"/>
      <c r="GE1648" s="1"/>
      <c r="GF1648" s="1"/>
      <c r="GG1648" s="1"/>
      <c r="GH1648" s="1"/>
      <c r="GI1648" s="1"/>
      <c r="GJ1648" s="1"/>
      <c r="GK1648" s="1"/>
      <c r="GL1648" s="1"/>
      <c r="GM1648" s="1"/>
      <c r="GN1648" s="1"/>
      <c r="GO1648" s="1"/>
      <c r="GP1648" s="1"/>
      <c r="GQ1648" s="1"/>
      <c r="GR1648" s="1"/>
      <c r="GS1648" s="1"/>
      <c r="GT1648" s="1"/>
      <c r="GU1648" s="1"/>
      <c r="GV1648" s="1"/>
      <c r="GW1648" s="1"/>
      <c r="GX1648" s="1"/>
      <c r="GY1648" s="1"/>
      <c r="GZ1648" s="1"/>
      <c r="HA1648" s="1"/>
      <c r="HB1648" s="1"/>
      <c r="HC1648" s="1"/>
      <c r="HD1648" s="1"/>
      <c r="HE1648" s="1"/>
      <c r="HF1648" s="1"/>
      <c r="HG1648" s="1"/>
      <c r="HH1648" s="1"/>
    </row>
    <row r="1649" spans="1:216" x14ac:dyDescent="0.3">
      <c r="A1649" s="3"/>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c r="GL1649" s="1"/>
      <c r="GM1649" s="1"/>
      <c r="GN1649" s="1"/>
      <c r="GO1649" s="1"/>
      <c r="GP1649" s="1"/>
      <c r="GQ1649" s="1"/>
      <c r="GR1649" s="1"/>
      <c r="GS1649" s="1"/>
      <c r="GT1649" s="1"/>
      <c r="GU1649" s="1"/>
      <c r="GV1649" s="1"/>
      <c r="GW1649" s="1"/>
      <c r="GX1649" s="1"/>
      <c r="GY1649" s="1"/>
      <c r="GZ1649" s="1"/>
      <c r="HA1649" s="1"/>
      <c r="HB1649" s="1"/>
      <c r="HC1649" s="1"/>
      <c r="HD1649" s="1"/>
      <c r="HE1649" s="1"/>
      <c r="HF1649" s="1"/>
      <c r="HG1649" s="1"/>
      <c r="HH1649" s="1"/>
    </row>
    <row r="1650" spans="1:216" x14ac:dyDescent="0.3">
      <c r="A1650" s="3"/>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c r="FN1650" s="1"/>
      <c r="FO1650" s="1"/>
      <c r="FP1650" s="1"/>
      <c r="FQ1650" s="1"/>
      <c r="FR1650" s="1"/>
      <c r="FS1650" s="1"/>
      <c r="FT1650" s="1"/>
      <c r="FU1650" s="1"/>
      <c r="FV1650" s="1"/>
      <c r="FW1650" s="1"/>
      <c r="FX1650" s="1"/>
      <c r="FY1650" s="1"/>
      <c r="FZ1650" s="1"/>
      <c r="GA1650" s="1"/>
      <c r="GB1650" s="1"/>
      <c r="GC1650" s="1"/>
      <c r="GD1650" s="1"/>
      <c r="GE1650" s="1"/>
      <c r="GF1650" s="1"/>
      <c r="GG1650" s="1"/>
      <c r="GH1650" s="1"/>
      <c r="GI1650" s="1"/>
      <c r="GJ1650" s="1"/>
      <c r="GK1650" s="1"/>
      <c r="GL1650" s="1"/>
      <c r="GM1650" s="1"/>
      <c r="GN1650" s="1"/>
      <c r="GO1650" s="1"/>
      <c r="GP1650" s="1"/>
      <c r="GQ1650" s="1"/>
      <c r="GR1650" s="1"/>
      <c r="GS1650" s="1"/>
      <c r="GT1650" s="1"/>
      <c r="GU1650" s="1"/>
      <c r="GV1650" s="1"/>
      <c r="GW1650" s="1"/>
      <c r="GX1650" s="1"/>
      <c r="GY1650" s="1"/>
      <c r="GZ1650" s="1"/>
      <c r="HA1650" s="1"/>
      <c r="HB1650" s="1"/>
      <c r="HC1650" s="1"/>
      <c r="HD1650" s="1"/>
      <c r="HE1650" s="1"/>
      <c r="HF1650" s="1"/>
      <c r="HG1650" s="1"/>
      <c r="HH1650" s="1"/>
    </row>
    <row r="1651" spans="1:216" x14ac:dyDescent="0.3">
      <c r="A1651" s="3"/>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c r="GL1651" s="1"/>
      <c r="GM1651" s="1"/>
      <c r="GN1651" s="1"/>
      <c r="GO1651" s="1"/>
      <c r="GP1651" s="1"/>
      <c r="GQ1651" s="1"/>
      <c r="GR1651" s="1"/>
      <c r="GS1651" s="1"/>
      <c r="GT1651" s="1"/>
      <c r="GU1651" s="1"/>
      <c r="GV1651" s="1"/>
      <c r="GW1651" s="1"/>
      <c r="GX1651" s="1"/>
      <c r="GY1651" s="1"/>
      <c r="GZ1651" s="1"/>
      <c r="HA1651" s="1"/>
      <c r="HB1651" s="1"/>
      <c r="HC1651" s="1"/>
      <c r="HD1651" s="1"/>
      <c r="HE1651" s="1"/>
      <c r="HF1651" s="1"/>
      <c r="HG1651" s="1"/>
      <c r="HH1651" s="1"/>
    </row>
    <row r="1652" spans="1:216" x14ac:dyDescent="0.3">
      <c r="A1652" s="3"/>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c r="GL1652" s="1"/>
      <c r="GM1652" s="1"/>
      <c r="GN1652" s="1"/>
      <c r="GO1652" s="1"/>
      <c r="GP1652" s="1"/>
      <c r="GQ1652" s="1"/>
      <c r="GR1652" s="1"/>
      <c r="GS1652" s="1"/>
      <c r="GT1652" s="1"/>
      <c r="GU1652" s="1"/>
      <c r="GV1652" s="1"/>
      <c r="GW1652" s="1"/>
      <c r="GX1652" s="1"/>
      <c r="GY1652" s="1"/>
      <c r="GZ1652" s="1"/>
      <c r="HA1652" s="1"/>
      <c r="HB1652" s="1"/>
      <c r="HC1652" s="1"/>
      <c r="HD1652" s="1"/>
      <c r="HE1652" s="1"/>
      <c r="HF1652" s="1"/>
      <c r="HG1652" s="1"/>
      <c r="HH1652" s="1"/>
    </row>
    <row r="1653" spans="1:216" x14ac:dyDescent="0.3">
      <c r="A1653" s="3"/>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c r="FN1653" s="1"/>
      <c r="FO1653" s="1"/>
      <c r="FP1653" s="1"/>
      <c r="FQ1653" s="1"/>
      <c r="FR1653" s="1"/>
      <c r="FS1653" s="1"/>
      <c r="FT1653" s="1"/>
      <c r="FU1653" s="1"/>
      <c r="FV1653" s="1"/>
      <c r="FW1653" s="1"/>
      <c r="FX1653" s="1"/>
      <c r="FY1653" s="1"/>
      <c r="FZ1653" s="1"/>
      <c r="GA1653" s="1"/>
      <c r="GB1653" s="1"/>
      <c r="GC1653" s="1"/>
      <c r="GD1653" s="1"/>
      <c r="GE1653" s="1"/>
      <c r="GF1653" s="1"/>
      <c r="GG1653" s="1"/>
      <c r="GH1653" s="1"/>
      <c r="GI1653" s="1"/>
      <c r="GJ1653" s="1"/>
      <c r="GK1653" s="1"/>
      <c r="GL1653" s="1"/>
      <c r="GM1653" s="1"/>
      <c r="GN1653" s="1"/>
      <c r="GO1653" s="1"/>
      <c r="GP1653" s="1"/>
      <c r="GQ1653" s="1"/>
      <c r="GR1653" s="1"/>
      <c r="GS1653" s="1"/>
      <c r="GT1653" s="1"/>
      <c r="GU1653" s="1"/>
      <c r="GV1653" s="1"/>
      <c r="GW1653" s="1"/>
      <c r="GX1653" s="1"/>
      <c r="GY1653" s="1"/>
      <c r="GZ1653" s="1"/>
      <c r="HA1653" s="1"/>
      <c r="HB1653" s="1"/>
      <c r="HC1653" s="1"/>
      <c r="HD1653" s="1"/>
      <c r="HE1653" s="1"/>
      <c r="HF1653" s="1"/>
      <c r="HG1653" s="1"/>
      <c r="HH1653" s="1"/>
    </row>
    <row r="1654" spans="1:216" x14ac:dyDescent="0.3">
      <c r="A1654" s="3"/>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c r="FM1654" s="1"/>
      <c r="FN1654" s="1"/>
      <c r="FO1654" s="1"/>
      <c r="FP1654" s="1"/>
      <c r="FQ1654" s="1"/>
      <c r="FR1654" s="1"/>
      <c r="FS1654" s="1"/>
      <c r="FT1654" s="1"/>
      <c r="FU1654" s="1"/>
      <c r="FV1654" s="1"/>
      <c r="FW1654" s="1"/>
      <c r="FX1654" s="1"/>
      <c r="FY1654" s="1"/>
      <c r="FZ1654" s="1"/>
      <c r="GA1654" s="1"/>
      <c r="GB1654" s="1"/>
      <c r="GC1654" s="1"/>
      <c r="GD1654" s="1"/>
      <c r="GE1654" s="1"/>
      <c r="GF1654" s="1"/>
      <c r="GG1654" s="1"/>
      <c r="GH1654" s="1"/>
      <c r="GI1654" s="1"/>
      <c r="GJ1654" s="1"/>
      <c r="GK1654" s="1"/>
      <c r="GL1654" s="1"/>
      <c r="GM1654" s="1"/>
      <c r="GN1654" s="1"/>
      <c r="GO1654" s="1"/>
      <c r="GP1654" s="1"/>
      <c r="GQ1654" s="1"/>
      <c r="GR1654" s="1"/>
      <c r="GS1654" s="1"/>
      <c r="GT1654" s="1"/>
      <c r="GU1654" s="1"/>
      <c r="GV1654" s="1"/>
      <c r="GW1654" s="1"/>
      <c r="GX1654" s="1"/>
      <c r="GY1654" s="1"/>
      <c r="GZ1654" s="1"/>
      <c r="HA1654" s="1"/>
      <c r="HB1654" s="1"/>
      <c r="HC1654" s="1"/>
      <c r="HD1654" s="1"/>
      <c r="HE1654" s="1"/>
      <c r="HF1654" s="1"/>
      <c r="HG1654" s="1"/>
      <c r="HH1654" s="1"/>
    </row>
    <row r="1655" spans="1:216" x14ac:dyDescent="0.3">
      <c r="A1655" s="3"/>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c r="FN1655" s="1"/>
      <c r="FO1655" s="1"/>
      <c r="FP1655" s="1"/>
      <c r="FQ1655" s="1"/>
      <c r="FR1655" s="1"/>
      <c r="FS1655" s="1"/>
      <c r="FT1655" s="1"/>
      <c r="FU1655" s="1"/>
      <c r="FV1655" s="1"/>
      <c r="FW1655" s="1"/>
      <c r="FX1655" s="1"/>
      <c r="FY1655" s="1"/>
      <c r="FZ1655" s="1"/>
      <c r="GA1655" s="1"/>
      <c r="GB1655" s="1"/>
      <c r="GC1655" s="1"/>
      <c r="GD1655" s="1"/>
      <c r="GE1655" s="1"/>
      <c r="GF1655" s="1"/>
      <c r="GG1655" s="1"/>
      <c r="GH1655" s="1"/>
      <c r="GI1655" s="1"/>
      <c r="GJ1655" s="1"/>
      <c r="GK1655" s="1"/>
      <c r="GL1655" s="1"/>
      <c r="GM1655" s="1"/>
      <c r="GN1655" s="1"/>
      <c r="GO1655" s="1"/>
      <c r="GP1655" s="1"/>
      <c r="GQ1655" s="1"/>
      <c r="GR1655" s="1"/>
      <c r="GS1655" s="1"/>
      <c r="GT1655" s="1"/>
      <c r="GU1655" s="1"/>
      <c r="GV1655" s="1"/>
      <c r="GW1655" s="1"/>
      <c r="GX1655" s="1"/>
      <c r="GY1655" s="1"/>
      <c r="GZ1655" s="1"/>
      <c r="HA1655" s="1"/>
      <c r="HB1655" s="1"/>
      <c r="HC1655" s="1"/>
      <c r="HD1655" s="1"/>
      <c r="HE1655" s="1"/>
      <c r="HF1655" s="1"/>
      <c r="HG1655" s="1"/>
      <c r="HH1655" s="1"/>
    </row>
    <row r="1656" spans="1:216" x14ac:dyDescent="0.3">
      <c r="A1656" s="3"/>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c r="FN1656" s="1"/>
      <c r="FO1656" s="1"/>
      <c r="FP1656" s="1"/>
      <c r="FQ1656" s="1"/>
      <c r="FR1656" s="1"/>
      <c r="FS1656" s="1"/>
      <c r="FT1656" s="1"/>
      <c r="FU1656" s="1"/>
      <c r="FV1656" s="1"/>
      <c r="FW1656" s="1"/>
      <c r="FX1656" s="1"/>
      <c r="FY1656" s="1"/>
      <c r="FZ1656" s="1"/>
      <c r="GA1656" s="1"/>
      <c r="GB1656" s="1"/>
      <c r="GC1656" s="1"/>
      <c r="GD1656" s="1"/>
      <c r="GE1656" s="1"/>
      <c r="GF1656" s="1"/>
      <c r="GG1656" s="1"/>
      <c r="GH1656" s="1"/>
      <c r="GI1656" s="1"/>
      <c r="GJ1656" s="1"/>
      <c r="GK1656" s="1"/>
      <c r="GL1656" s="1"/>
      <c r="GM1656" s="1"/>
      <c r="GN1656" s="1"/>
      <c r="GO1656" s="1"/>
      <c r="GP1656" s="1"/>
      <c r="GQ1656" s="1"/>
      <c r="GR1656" s="1"/>
      <c r="GS1656" s="1"/>
      <c r="GT1656" s="1"/>
      <c r="GU1656" s="1"/>
      <c r="GV1656" s="1"/>
      <c r="GW1656" s="1"/>
      <c r="GX1656" s="1"/>
      <c r="GY1656" s="1"/>
      <c r="GZ1656" s="1"/>
      <c r="HA1656" s="1"/>
      <c r="HB1656" s="1"/>
      <c r="HC1656" s="1"/>
      <c r="HD1656" s="1"/>
      <c r="HE1656" s="1"/>
      <c r="HF1656" s="1"/>
      <c r="HG1656" s="1"/>
      <c r="HH1656" s="1"/>
    </row>
    <row r="1657" spans="1:216" x14ac:dyDescent="0.3">
      <c r="A1657" s="3"/>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c r="EF1657" s="1"/>
      <c r="EG1657" s="1"/>
      <c r="EH1657" s="1"/>
      <c r="EI1657" s="1"/>
      <c r="EJ1657" s="1"/>
      <c r="EK1657" s="1"/>
      <c r="EL1657" s="1"/>
      <c r="EM1657" s="1"/>
      <c r="EN1657" s="1"/>
      <c r="EO1657" s="1"/>
      <c r="EP1657" s="1"/>
      <c r="EQ1657" s="1"/>
      <c r="ER1657" s="1"/>
      <c r="ES1657" s="1"/>
      <c r="ET1657" s="1"/>
      <c r="EU1657" s="1"/>
      <c r="EV1657" s="1"/>
      <c r="EW1657" s="1"/>
      <c r="EX1657" s="1"/>
      <c r="EY1657" s="1"/>
      <c r="EZ1657" s="1"/>
      <c r="FA1657" s="1"/>
      <c r="FB1657" s="1"/>
      <c r="FC1657" s="1"/>
      <c r="FD1657" s="1"/>
      <c r="FE1657" s="1"/>
      <c r="FF1657" s="1"/>
      <c r="FG1657" s="1"/>
      <c r="FH1657" s="1"/>
      <c r="FI1657" s="1"/>
      <c r="FJ1657" s="1"/>
      <c r="FK1657" s="1"/>
      <c r="FL1657" s="1"/>
      <c r="FM1657" s="1"/>
      <c r="FN1657" s="1"/>
      <c r="FO1657" s="1"/>
      <c r="FP1657" s="1"/>
      <c r="FQ1657" s="1"/>
      <c r="FR1657" s="1"/>
      <c r="FS1657" s="1"/>
      <c r="FT1657" s="1"/>
      <c r="FU1657" s="1"/>
      <c r="FV1657" s="1"/>
      <c r="FW1657" s="1"/>
      <c r="FX1657" s="1"/>
      <c r="FY1657" s="1"/>
      <c r="FZ1657" s="1"/>
      <c r="GA1657" s="1"/>
      <c r="GB1657" s="1"/>
      <c r="GC1657" s="1"/>
      <c r="GD1657" s="1"/>
      <c r="GE1657" s="1"/>
      <c r="GF1657" s="1"/>
      <c r="GG1657" s="1"/>
      <c r="GH1657" s="1"/>
      <c r="GI1657" s="1"/>
      <c r="GJ1657" s="1"/>
      <c r="GK1657" s="1"/>
      <c r="GL1657" s="1"/>
      <c r="GM1657" s="1"/>
      <c r="GN1657" s="1"/>
      <c r="GO1657" s="1"/>
      <c r="GP1657" s="1"/>
      <c r="GQ1657" s="1"/>
      <c r="GR1657" s="1"/>
      <c r="GS1657" s="1"/>
      <c r="GT1657" s="1"/>
      <c r="GU1657" s="1"/>
      <c r="GV1657" s="1"/>
      <c r="GW1657" s="1"/>
      <c r="GX1657" s="1"/>
      <c r="GY1657" s="1"/>
      <c r="GZ1657" s="1"/>
      <c r="HA1657" s="1"/>
      <c r="HB1657" s="1"/>
      <c r="HC1657" s="1"/>
      <c r="HD1657" s="1"/>
      <c r="HE1657" s="1"/>
      <c r="HF1657" s="1"/>
      <c r="HG1657" s="1"/>
      <c r="HH1657" s="1"/>
    </row>
    <row r="1658" spans="1:216" x14ac:dyDescent="0.3">
      <c r="A1658" s="3"/>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c r="FN1658" s="1"/>
      <c r="FO1658" s="1"/>
      <c r="FP1658" s="1"/>
      <c r="FQ1658" s="1"/>
      <c r="FR1658" s="1"/>
      <c r="FS1658" s="1"/>
      <c r="FT1658" s="1"/>
      <c r="FU1658" s="1"/>
      <c r="FV1658" s="1"/>
      <c r="FW1658" s="1"/>
      <c r="FX1658" s="1"/>
      <c r="FY1658" s="1"/>
      <c r="FZ1658" s="1"/>
      <c r="GA1658" s="1"/>
      <c r="GB1658" s="1"/>
      <c r="GC1658" s="1"/>
      <c r="GD1658" s="1"/>
      <c r="GE1658" s="1"/>
      <c r="GF1658" s="1"/>
      <c r="GG1658" s="1"/>
      <c r="GH1658" s="1"/>
      <c r="GI1658" s="1"/>
      <c r="GJ1658" s="1"/>
      <c r="GK1658" s="1"/>
      <c r="GL1658" s="1"/>
      <c r="GM1658" s="1"/>
      <c r="GN1658" s="1"/>
      <c r="GO1658" s="1"/>
      <c r="GP1658" s="1"/>
      <c r="GQ1658" s="1"/>
      <c r="GR1658" s="1"/>
      <c r="GS1658" s="1"/>
      <c r="GT1658" s="1"/>
      <c r="GU1658" s="1"/>
      <c r="GV1658" s="1"/>
      <c r="GW1658" s="1"/>
      <c r="GX1658" s="1"/>
      <c r="GY1658" s="1"/>
      <c r="GZ1658" s="1"/>
      <c r="HA1658" s="1"/>
      <c r="HB1658" s="1"/>
      <c r="HC1658" s="1"/>
      <c r="HD1658" s="1"/>
      <c r="HE1658" s="1"/>
      <c r="HF1658" s="1"/>
      <c r="HG1658" s="1"/>
      <c r="HH1658" s="1"/>
    </row>
    <row r="1659" spans="1:216" x14ac:dyDescent="0.3">
      <c r="A1659" s="3"/>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c r="GL1659" s="1"/>
      <c r="GM1659" s="1"/>
      <c r="GN1659" s="1"/>
      <c r="GO1659" s="1"/>
      <c r="GP1659" s="1"/>
      <c r="GQ1659" s="1"/>
      <c r="GR1659" s="1"/>
      <c r="GS1659" s="1"/>
      <c r="GT1659" s="1"/>
      <c r="GU1659" s="1"/>
      <c r="GV1659" s="1"/>
      <c r="GW1659" s="1"/>
      <c r="GX1659" s="1"/>
      <c r="GY1659" s="1"/>
      <c r="GZ1659" s="1"/>
      <c r="HA1659" s="1"/>
      <c r="HB1659" s="1"/>
      <c r="HC1659" s="1"/>
      <c r="HD1659" s="1"/>
      <c r="HE1659" s="1"/>
      <c r="HF1659" s="1"/>
      <c r="HG1659" s="1"/>
      <c r="HH1659" s="1"/>
    </row>
    <row r="1660" spans="1:216" x14ac:dyDescent="0.3">
      <c r="A1660" s="3"/>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c r="FN1660" s="1"/>
      <c r="FO1660" s="1"/>
      <c r="FP1660" s="1"/>
      <c r="FQ1660" s="1"/>
      <c r="FR1660" s="1"/>
      <c r="FS1660" s="1"/>
      <c r="FT1660" s="1"/>
      <c r="FU1660" s="1"/>
      <c r="FV1660" s="1"/>
      <c r="FW1660" s="1"/>
      <c r="FX1660" s="1"/>
      <c r="FY1660" s="1"/>
      <c r="FZ1660" s="1"/>
      <c r="GA1660" s="1"/>
      <c r="GB1660" s="1"/>
      <c r="GC1660" s="1"/>
      <c r="GD1660" s="1"/>
      <c r="GE1660" s="1"/>
      <c r="GF1660" s="1"/>
      <c r="GG1660" s="1"/>
      <c r="GH1660" s="1"/>
      <c r="GI1660" s="1"/>
      <c r="GJ1660" s="1"/>
      <c r="GK1660" s="1"/>
      <c r="GL1660" s="1"/>
      <c r="GM1660" s="1"/>
      <c r="GN1660" s="1"/>
      <c r="GO1660" s="1"/>
      <c r="GP1660" s="1"/>
      <c r="GQ1660" s="1"/>
      <c r="GR1660" s="1"/>
      <c r="GS1660" s="1"/>
      <c r="GT1660" s="1"/>
      <c r="GU1660" s="1"/>
      <c r="GV1660" s="1"/>
      <c r="GW1660" s="1"/>
      <c r="GX1660" s="1"/>
      <c r="GY1660" s="1"/>
      <c r="GZ1660" s="1"/>
      <c r="HA1660" s="1"/>
      <c r="HB1660" s="1"/>
      <c r="HC1660" s="1"/>
      <c r="HD1660" s="1"/>
      <c r="HE1660" s="1"/>
      <c r="HF1660" s="1"/>
      <c r="HG1660" s="1"/>
      <c r="HH1660" s="1"/>
    </row>
    <row r="1661" spans="1:216" x14ac:dyDescent="0.3">
      <c r="A1661" s="3"/>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c r="EF1661" s="1"/>
      <c r="EG1661" s="1"/>
      <c r="EH1661" s="1"/>
      <c r="EI1661" s="1"/>
      <c r="EJ1661" s="1"/>
      <c r="EK1661" s="1"/>
      <c r="EL1661" s="1"/>
      <c r="EM1661" s="1"/>
      <c r="EN1661" s="1"/>
      <c r="EO1661" s="1"/>
      <c r="EP1661" s="1"/>
      <c r="EQ1661" s="1"/>
      <c r="ER1661" s="1"/>
      <c r="ES1661" s="1"/>
      <c r="ET1661" s="1"/>
      <c r="EU1661" s="1"/>
      <c r="EV1661" s="1"/>
      <c r="EW1661" s="1"/>
      <c r="EX1661" s="1"/>
      <c r="EY1661" s="1"/>
      <c r="EZ1661" s="1"/>
      <c r="FA1661" s="1"/>
      <c r="FB1661" s="1"/>
      <c r="FC1661" s="1"/>
      <c r="FD1661" s="1"/>
      <c r="FE1661" s="1"/>
      <c r="FF1661" s="1"/>
      <c r="FG1661" s="1"/>
      <c r="FH1661" s="1"/>
      <c r="FI1661" s="1"/>
      <c r="FJ1661" s="1"/>
      <c r="FK1661" s="1"/>
      <c r="FL1661" s="1"/>
      <c r="FM1661" s="1"/>
      <c r="FN1661" s="1"/>
      <c r="FO1661" s="1"/>
      <c r="FP1661" s="1"/>
      <c r="FQ1661" s="1"/>
      <c r="FR1661" s="1"/>
      <c r="FS1661" s="1"/>
      <c r="FT1661" s="1"/>
      <c r="FU1661" s="1"/>
      <c r="FV1661" s="1"/>
      <c r="FW1661" s="1"/>
      <c r="FX1661" s="1"/>
      <c r="FY1661" s="1"/>
      <c r="FZ1661" s="1"/>
      <c r="GA1661" s="1"/>
      <c r="GB1661" s="1"/>
      <c r="GC1661" s="1"/>
      <c r="GD1661" s="1"/>
      <c r="GE1661" s="1"/>
      <c r="GF1661" s="1"/>
      <c r="GG1661" s="1"/>
      <c r="GH1661" s="1"/>
      <c r="GI1661" s="1"/>
      <c r="GJ1661" s="1"/>
      <c r="GK1661" s="1"/>
      <c r="GL1661" s="1"/>
      <c r="GM1661" s="1"/>
      <c r="GN1661" s="1"/>
      <c r="GO1661" s="1"/>
      <c r="GP1661" s="1"/>
      <c r="GQ1661" s="1"/>
      <c r="GR1661" s="1"/>
      <c r="GS1661" s="1"/>
      <c r="GT1661" s="1"/>
      <c r="GU1661" s="1"/>
      <c r="GV1661" s="1"/>
      <c r="GW1661" s="1"/>
      <c r="GX1661" s="1"/>
      <c r="GY1661" s="1"/>
      <c r="GZ1661" s="1"/>
      <c r="HA1661" s="1"/>
      <c r="HB1661" s="1"/>
      <c r="HC1661" s="1"/>
      <c r="HD1661" s="1"/>
      <c r="HE1661" s="1"/>
      <c r="HF1661" s="1"/>
      <c r="HG1661" s="1"/>
      <c r="HH1661" s="1"/>
    </row>
    <row r="1662" spans="1:216" x14ac:dyDescent="0.3">
      <c r="A1662" s="3"/>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c r="GL1662" s="1"/>
      <c r="GM1662" s="1"/>
      <c r="GN1662" s="1"/>
      <c r="GO1662" s="1"/>
      <c r="GP1662" s="1"/>
      <c r="GQ1662" s="1"/>
      <c r="GR1662" s="1"/>
      <c r="GS1662" s="1"/>
      <c r="GT1662" s="1"/>
      <c r="GU1662" s="1"/>
      <c r="GV1662" s="1"/>
      <c r="GW1662" s="1"/>
      <c r="GX1662" s="1"/>
      <c r="GY1662" s="1"/>
      <c r="GZ1662" s="1"/>
      <c r="HA1662" s="1"/>
      <c r="HB1662" s="1"/>
      <c r="HC1662" s="1"/>
      <c r="HD1662" s="1"/>
      <c r="HE1662" s="1"/>
      <c r="HF1662" s="1"/>
      <c r="HG1662" s="1"/>
      <c r="HH1662" s="1"/>
    </row>
    <row r="1663" spans="1:216" x14ac:dyDescent="0.3">
      <c r="A1663" s="3"/>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c r="FN1663" s="1"/>
      <c r="FO1663" s="1"/>
      <c r="FP1663" s="1"/>
      <c r="FQ1663" s="1"/>
      <c r="FR1663" s="1"/>
      <c r="FS1663" s="1"/>
      <c r="FT1663" s="1"/>
      <c r="FU1663" s="1"/>
      <c r="FV1663" s="1"/>
      <c r="FW1663" s="1"/>
      <c r="FX1663" s="1"/>
      <c r="FY1663" s="1"/>
      <c r="FZ1663" s="1"/>
      <c r="GA1663" s="1"/>
      <c r="GB1663" s="1"/>
      <c r="GC1663" s="1"/>
      <c r="GD1663" s="1"/>
      <c r="GE1663" s="1"/>
      <c r="GF1663" s="1"/>
      <c r="GG1663" s="1"/>
      <c r="GH1663" s="1"/>
      <c r="GI1663" s="1"/>
      <c r="GJ1663" s="1"/>
      <c r="GK1663" s="1"/>
      <c r="GL1663" s="1"/>
      <c r="GM1663" s="1"/>
      <c r="GN1663" s="1"/>
      <c r="GO1663" s="1"/>
      <c r="GP1663" s="1"/>
      <c r="GQ1663" s="1"/>
      <c r="GR1663" s="1"/>
      <c r="GS1663" s="1"/>
      <c r="GT1663" s="1"/>
      <c r="GU1663" s="1"/>
      <c r="GV1663" s="1"/>
      <c r="GW1663" s="1"/>
      <c r="GX1663" s="1"/>
      <c r="GY1663" s="1"/>
      <c r="GZ1663" s="1"/>
      <c r="HA1663" s="1"/>
      <c r="HB1663" s="1"/>
      <c r="HC1663" s="1"/>
      <c r="HD1663" s="1"/>
      <c r="HE1663" s="1"/>
      <c r="HF1663" s="1"/>
      <c r="HG1663" s="1"/>
      <c r="HH1663" s="1"/>
    </row>
    <row r="1664" spans="1:216" x14ac:dyDescent="0.3">
      <c r="A1664" s="3"/>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c r="FN1664" s="1"/>
      <c r="FO1664" s="1"/>
      <c r="FP1664" s="1"/>
      <c r="FQ1664" s="1"/>
      <c r="FR1664" s="1"/>
      <c r="FS1664" s="1"/>
      <c r="FT1664" s="1"/>
      <c r="FU1664" s="1"/>
      <c r="FV1664" s="1"/>
      <c r="FW1664" s="1"/>
      <c r="FX1664" s="1"/>
      <c r="FY1664" s="1"/>
      <c r="FZ1664" s="1"/>
      <c r="GA1664" s="1"/>
      <c r="GB1664" s="1"/>
      <c r="GC1664" s="1"/>
      <c r="GD1664" s="1"/>
      <c r="GE1664" s="1"/>
      <c r="GF1664" s="1"/>
      <c r="GG1664" s="1"/>
      <c r="GH1664" s="1"/>
      <c r="GI1664" s="1"/>
      <c r="GJ1664" s="1"/>
      <c r="GK1664" s="1"/>
      <c r="GL1664" s="1"/>
      <c r="GM1664" s="1"/>
      <c r="GN1664" s="1"/>
      <c r="GO1664" s="1"/>
      <c r="GP1664" s="1"/>
      <c r="GQ1664" s="1"/>
      <c r="GR1664" s="1"/>
      <c r="GS1664" s="1"/>
      <c r="GT1664" s="1"/>
      <c r="GU1664" s="1"/>
      <c r="GV1664" s="1"/>
      <c r="GW1664" s="1"/>
      <c r="GX1664" s="1"/>
      <c r="GY1664" s="1"/>
      <c r="GZ1664" s="1"/>
      <c r="HA1664" s="1"/>
      <c r="HB1664" s="1"/>
      <c r="HC1664" s="1"/>
      <c r="HD1664" s="1"/>
      <c r="HE1664" s="1"/>
      <c r="HF1664" s="1"/>
      <c r="HG1664" s="1"/>
      <c r="HH1664" s="1"/>
    </row>
    <row r="1665" spans="1:216" x14ac:dyDescent="0.3">
      <c r="A1665" s="3"/>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c r="EF1665" s="1"/>
      <c r="EG1665" s="1"/>
      <c r="EH1665" s="1"/>
      <c r="EI1665" s="1"/>
      <c r="EJ1665" s="1"/>
      <c r="EK1665" s="1"/>
      <c r="EL1665" s="1"/>
      <c r="EM1665" s="1"/>
      <c r="EN1665" s="1"/>
      <c r="EO1665" s="1"/>
      <c r="EP1665" s="1"/>
      <c r="EQ1665" s="1"/>
      <c r="ER1665" s="1"/>
      <c r="ES1665" s="1"/>
      <c r="ET1665" s="1"/>
      <c r="EU1665" s="1"/>
      <c r="EV1665" s="1"/>
      <c r="EW1665" s="1"/>
      <c r="EX1665" s="1"/>
      <c r="EY1665" s="1"/>
      <c r="EZ1665" s="1"/>
      <c r="FA1665" s="1"/>
      <c r="FB1665" s="1"/>
      <c r="FC1665" s="1"/>
      <c r="FD1665" s="1"/>
      <c r="FE1665" s="1"/>
      <c r="FF1665" s="1"/>
      <c r="FG1665" s="1"/>
      <c r="FH1665" s="1"/>
      <c r="FI1665" s="1"/>
      <c r="FJ1665" s="1"/>
      <c r="FK1665" s="1"/>
      <c r="FL1665" s="1"/>
      <c r="FM1665" s="1"/>
      <c r="FN1665" s="1"/>
      <c r="FO1665" s="1"/>
      <c r="FP1665" s="1"/>
      <c r="FQ1665" s="1"/>
      <c r="FR1665" s="1"/>
      <c r="FS1665" s="1"/>
      <c r="FT1665" s="1"/>
      <c r="FU1665" s="1"/>
      <c r="FV1665" s="1"/>
      <c r="FW1665" s="1"/>
      <c r="FX1665" s="1"/>
      <c r="FY1665" s="1"/>
      <c r="FZ1665" s="1"/>
      <c r="GA1665" s="1"/>
      <c r="GB1665" s="1"/>
      <c r="GC1665" s="1"/>
      <c r="GD1665" s="1"/>
      <c r="GE1665" s="1"/>
      <c r="GF1665" s="1"/>
      <c r="GG1665" s="1"/>
      <c r="GH1665" s="1"/>
      <c r="GI1665" s="1"/>
      <c r="GJ1665" s="1"/>
      <c r="GK1665" s="1"/>
      <c r="GL1665" s="1"/>
      <c r="GM1665" s="1"/>
      <c r="GN1665" s="1"/>
      <c r="GO1665" s="1"/>
      <c r="GP1665" s="1"/>
      <c r="GQ1665" s="1"/>
      <c r="GR1665" s="1"/>
      <c r="GS1665" s="1"/>
      <c r="GT1665" s="1"/>
      <c r="GU1665" s="1"/>
      <c r="GV1665" s="1"/>
      <c r="GW1665" s="1"/>
      <c r="GX1665" s="1"/>
      <c r="GY1665" s="1"/>
      <c r="GZ1665" s="1"/>
      <c r="HA1665" s="1"/>
      <c r="HB1665" s="1"/>
      <c r="HC1665" s="1"/>
      <c r="HD1665" s="1"/>
      <c r="HE1665" s="1"/>
      <c r="HF1665" s="1"/>
      <c r="HG1665" s="1"/>
      <c r="HH1665" s="1"/>
    </row>
    <row r="1666" spans="1:216" x14ac:dyDescent="0.3">
      <c r="A1666" s="3"/>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c r="GL1666" s="1"/>
      <c r="GM1666" s="1"/>
      <c r="GN1666" s="1"/>
      <c r="GO1666" s="1"/>
      <c r="GP1666" s="1"/>
      <c r="GQ1666" s="1"/>
      <c r="GR1666" s="1"/>
      <c r="GS1666" s="1"/>
      <c r="GT1666" s="1"/>
      <c r="GU1666" s="1"/>
      <c r="GV1666" s="1"/>
      <c r="GW1666" s="1"/>
      <c r="GX1666" s="1"/>
      <c r="GY1666" s="1"/>
      <c r="GZ1666" s="1"/>
      <c r="HA1666" s="1"/>
      <c r="HB1666" s="1"/>
      <c r="HC1666" s="1"/>
      <c r="HD1666" s="1"/>
      <c r="HE1666" s="1"/>
      <c r="HF1666" s="1"/>
      <c r="HG1666" s="1"/>
      <c r="HH1666" s="1"/>
    </row>
    <row r="1667" spans="1:216" x14ac:dyDescent="0.3">
      <c r="A1667" s="3"/>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c r="FN1667" s="1"/>
      <c r="FO1667" s="1"/>
      <c r="FP1667" s="1"/>
      <c r="FQ1667" s="1"/>
      <c r="FR1667" s="1"/>
      <c r="FS1667" s="1"/>
      <c r="FT1667" s="1"/>
      <c r="FU1667" s="1"/>
      <c r="FV1667" s="1"/>
      <c r="FW1667" s="1"/>
      <c r="FX1667" s="1"/>
      <c r="FY1667" s="1"/>
      <c r="FZ1667" s="1"/>
      <c r="GA1667" s="1"/>
      <c r="GB1667" s="1"/>
      <c r="GC1667" s="1"/>
      <c r="GD1667" s="1"/>
      <c r="GE1667" s="1"/>
      <c r="GF1667" s="1"/>
      <c r="GG1667" s="1"/>
      <c r="GH1667" s="1"/>
      <c r="GI1667" s="1"/>
      <c r="GJ1667" s="1"/>
      <c r="GK1667" s="1"/>
      <c r="GL1667" s="1"/>
      <c r="GM1667" s="1"/>
      <c r="GN1667" s="1"/>
      <c r="GO1667" s="1"/>
      <c r="GP1667" s="1"/>
      <c r="GQ1667" s="1"/>
      <c r="GR1667" s="1"/>
      <c r="GS1667" s="1"/>
      <c r="GT1667" s="1"/>
      <c r="GU1667" s="1"/>
      <c r="GV1667" s="1"/>
      <c r="GW1667" s="1"/>
      <c r="GX1667" s="1"/>
      <c r="GY1667" s="1"/>
      <c r="GZ1667" s="1"/>
      <c r="HA1667" s="1"/>
      <c r="HB1667" s="1"/>
      <c r="HC1667" s="1"/>
      <c r="HD1667" s="1"/>
      <c r="HE1667" s="1"/>
      <c r="HF1667" s="1"/>
      <c r="HG1667" s="1"/>
      <c r="HH1667" s="1"/>
    </row>
    <row r="1668" spans="1:216" x14ac:dyDescent="0.3">
      <c r="A1668" s="3"/>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c r="FN1668" s="1"/>
      <c r="FO1668" s="1"/>
      <c r="FP1668" s="1"/>
      <c r="FQ1668" s="1"/>
      <c r="FR1668" s="1"/>
      <c r="FS1668" s="1"/>
      <c r="FT1668" s="1"/>
      <c r="FU1668" s="1"/>
      <c r="FV1668" s="1"/>
      <c r="FW1668" s="1"/>
      <c r="FX1668" s="1"/>
      <c r="FY1668" s="1"/>
      <c r="FZ1668" s="1"/>
      <c r="GA1668" s="1"/>
      <c r="GB1668" s="1"/>
      <c r="GC1668" s="1"/>
      <c r="GD1668" s="1"/>
      <c r="GE1668" s="1"/>
      <c r="GF1668" s="1"/>
      <c r="GG1668" s="1"/>
      <c r="GH1668" s="1"/>
      <c r="GI1668" s="1"/>
      <c r="GJ1668" s="1"/>
      <c r="GK1668" s="1"/>
      <c r="GL1668" s="1"/>
      <c r="GM1668" s="1"/>
      <c r="GN1668" s="1"/>
      <c r="GO1668" s="1"/>
      <c r="GP1668" s="1"/>
      <c r="GQ1668" s="1"/>
      <c r="GR1668" s="1"/>
      <c r="GS1668" s="1"/>
      <c r="GT1668" s="1"/>
      <c r="GU1668" s="1"/>
      <c r="GV1668" s="1"/>
      <c r="GW1668" s="1"/>
      <c r="GX1668" s="1"/>
      <c r="GY1668" s="1"/>
      <c r="GZ1668" s="1"/>
      <c r="HA1668" s="1"/>
      <c r="HB1668" s="1"/>
      <c r="HC1668" s="1"/>
      <c r="HD1668" s="1"/>
      <c r="HE1668" s="1"/>
      <c r="HF1668" s="1"/>
      <c r="HG1668" s="1"/>
      <c r="HH1668" s="1"/>
    </row>
    <row r="1669" spans="1:216" x14ac:dyDescent="0.3">
      <c r="A1669" s="3"/>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c r="GL1669" s="1"/>
      <c r="GM1669" s="1"/>
      <c r="GN1669" s="1"/>
      <c r="GO1669" s="1"/>
      <c r="GP1669" s="1"/>
      <c r="GQ1669" s="1"/>
      <c r="GR1669" s="1"/>
      <c r="GS1669" s="1"/>
      <c r="GT1669" s="1"/>
      <c r="GU1669" s="1"/>
      <c r="GV1669" s="1"/>
      <c r="GW1669" s="1"/>
      <c r="GX1669" s="1"/>
      <c r="GY1669" s="1"/>
      <c r="GZ1669" s="1"/>
      <c r="HA1669" s="1"/>
      <c r="HB1669" s="1"/>
      <c r="HC1669" s="1"/>
      <c r="HD1669" s="1"/>
      <c r="HE1669" s="1"/>
      <c r="HF1669" s="1"/>
      <c r="HG1669" s="1"/>
      <c r="HH1669" s="1"/>
    </row>
    <row r="1670" spans="1:216" x14ac:dyDescent="0.3">
      <c r="A1670" s="3"/>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c r="GL1670" s="1"/>
      <c r="GM1670" s="1"/>
      <c r="GN1670" s="1"/>
      <c r="GO1670" s="1"/>
      <c r="GP1670" s="1"/>
      <c r="GQ1670" s="1"/>
      <c r="GR1670" s="1"/>
      <c r="GS1670" s="1"/>
      <c r="GT1670" s="1"/>
      <c r="GU1670" s="1"/>
      <c r="GV1670" s="1"/>
      <c r="GW1670" s="1"/>
      <c r="GX1670" s="1"/>
      <c r="GY1670" s="1"/>
      <c r="GZ1670" s="1"/>
      <c r="HA1670" s="1"/>
      <c r="HB1670" s="1"/>
      <c r="HC1670" s="1"/>
      <c r="HD1670" s="1"/>
      <c r="HE1670" s="1"/>
      <c r="HF1670" s="1"/>
      <c r="HG1670" s="1"/>
      <c r="HH1670" s="1"/>
    </row>
    <row r="1671" spans="1:216" x14ac:dyDescent="0.3">
      <c r="A1671" s="3"/>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GS1671" s="1"/>
      <c r="GT1671" s="1"/>
      <c r="GU1671" s="1"/>
      <c r="GV1671" s="1"/>
      <c r="GW1671" s="1"/>
      <c r="GX1671" s="1"/>
      <c r="GY1671" s="1"/>
      <c r="GZ1671" s="1"/>
      <c r="HA1671" s="1"/>
      <c r="HB1671" s="1"/>
      <c r="HC1671" s="1"/>
      <c r="HD1671" s="1"/>
      <c r="HE1671" s="1"/>
      <c r="HF1671" s="1"/>
      <c r="HG1671" s="1"/>
      <c r="HH1671" s="1"/>
    </row>
    <row r="1672" spans="1:216" x14ac:dyDescent="0.3">
      <c r="A1672" s="3"/>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GS1672" s="1"/>
      <c r="GT1672" s="1"/>
      <c r="GU1672" s="1"/>
      <c r="GV1672" s="1"/>
      <c r="GW1672" s="1"/>
      <c r="GX1672" s="1"/>
      <c r="GY1672" s="1"/>
      <c r="GZ1672" s="1"/>
      <c r="HA1672" s="1"/>
      <c r="HB1672" s="1"/>
      <c r="HC1672" s="1"/>
      <c r="HD1672" s="1"/>
      <c r="HE1672" s="1"/>
      <c r="HF1672" s="1"/>
      <c r="HG1672" s="1"/>
      <c r="HH1672" s="1"/>
    </row>
    <row r="1673" spans="1:216" x14ac:dyDescent="0.3">
      <c r="A1673" s="3"/>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c r="EF1673" s="1"/>
      <c r="EG1673" s="1"/>
      <c r="EH1673" s="1"/>
      <c r="EI1673" s="1"/>
      <c r="EJ1673" s="1"/>
      <c r="EK1673" s="1"/>
      <c r="EL1673" s="1"/>
      <c r="EM1673" s="1"/>
      <c r="EN1673" s="1"/>
      <c r="EO1673" s="1"/>
      <c r="EP1673" s="1"/>
      <c r="EQ1673" s="1"/>
      <c r="ER1673" s="1"/>
      <c r="ES1673" s="1"/>
      <c r="ET1673" s="1"/>
      <c r="EU1673" s="1"/>
      <c r="EV1673" s="1"/>
      <c r="EW1673" s="1"/>
      <c r="EX1673" s="1"/>
      <c r="EY1673" s="1"/>
      <c r="EZ1673" s="1"/>
      <c r="FA1673" s="1"/>
      <c r="FB1673" s="1"/>
      <c r="FC1673" s="1"/>
      <c r="FD1673" s="1"/>
      <c r="FE1673" s="1"/>
      <c r="FF1673" s="1"/>
      <c r="FG1673" s="1"/>
      <c r="FH1673" s="1"/>
      <c r="FI1673" s="1"/>
      <c r="FJ1673" s="1"/>
      <c r="FK1673" s="1"/>
      <c r="FL1673" s="1"/>
      <c r="FM1673" s="1"/>
      <c r="FN1673" s="1"/>
      <c r="FO1673" s="1"/>
      <c r="FP1673" s="1"/>
      <c r="FQ1673" s="1"/>
      <c r="FR1673" s="1"/>
      <c r="FS1673" s="1"/>
      <c r="FT1673" s="1"/>
      <c r="FU1673" s="1"/>
      <c r="FV1673" s="1"/>
      <c r="FW1673" s="1"/>
      <c r="FX1673" s="1"/>
      <c r="FY1673" s="1"/>
      <c r="FZ1673" s="1"/>
      <c r="GA1673" s="1"/>
      <c r="GB1673" s="1"/>
      <c r="GC1673" s="1"/>
      <c r="GD1673" s="1"/>
      <c r="GE1673" s="1"/>
      <c r="GF1673" s="1"/>
      <c r="GG1673" s="1"/>
      <c r="GH1673" s="1"/>
      <c r="GI1673" s="1"/>
      <c r="GJ1673" s="1"/>
      <c r="GK1673" s="1"/>
      <c r="GL1673" s="1"/>
      <c r="GM1673" s="1"/>
      <c r="GN1673" s="1"/>
      <c r="GO1673" s="1"/>
      <c r="GP1673" s="1"/>
      <c r="GQ1673" s="1"/>
      <c r="GR1673" s="1"/>
      <c r="GS1673" s="1"/>
      <c r="GT1673" s="1"/>
      <c r="GU1673" s="1"/>
      <c r="GV1673" s="1"/>
      <c r="GW1673" s="1"/>
      <c r="GX1673" s="1"/>
      <c r="GY1673" s="1"/>
      <c r="GZ1673" s="1"/>
      <c r="HA1673" s="1"/>
      <c r="HB1673" s="1"/>
      <c r="HC1673" s="1"/>
      <c r="HD1673" s="1"/>
      <c r="HE1673" s="1"/>
      <c r="HF1673" s="1"/>
      <c r="HG1673" s="1"/>
      <c r="HH1673" s="1"/>
    </row>
    <row r="1674" spans="1:216" x14ac:dyDescent="0.3">
      <c r="A1674" s="3"/>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c r="FN1674" s="1"/>
      <c r="FO1674" s="1"/>
      <c r="FP1674" s="1"/>
      <c r="FQ1674" s="1"/>
      <c r="FR1674" s="1"/>
      <c r="FS1674" s="1"/>
      <c r="FT1674" s="1"/>
      <c r="FU1674" s="1"/>
      <c r="FV1674" s="1"/>
      <c r="FW1674" s="1"/>
      <c r="FX1674" s="1"/>
      <c r="FY1674" s="1"/>
      <c r="FZ1674" s="1"/>
      <c r="GA1674" s="1"/>
      <c r="GB1674" s="1"/>
      <c r="GC1674" s="1"/>
      <c r="GD1674" s="1"/>
      <c r="GE1674" s="1"/>
      <c r="GF1674" s="1"/>
      <c r="GG1674" s="1"/>
      <c r="GH1674" s="1"/>
      <c r="GI1674" s="1"/>
      <c r="GJ1674" s="1"/>
      <c r="GK1674" s="1"/>
      <c r="GL1674" s="1"/>
      <c r="GM1674" s="1"/>
      <c r="GN1674" s="1"/>
      <c r="GO1674" s="1"/>
      <c r="GP1674" s="1"/>
      <c r="GQ1674" s="1"/>
      <c r="GR1674" s="1"/>
      <c r="GS1674" s="1"/>
      <c r="GT1674" s="1"/>
      <c r="GU1674" s="1"/>
      <c r="GV1674" s="1"/>
      <c r="GW1674" s="1"/>
      <c r="GX1674" s="1"/>
      <c r="GY1674" s="1"/>
      <c r="GZ1674" s="1"/>
      <c r="HA1674" s="1"/>
      <c r="HB1674" s="1"/>
      <c r="HC1674" s="1"/>
      <c r="HD1674" s="1"/>
      <c r="HE1674" s="1"/>
      <c r="HF1674" s="1"/>
      <c r="HG1674" s="1"/>
      <c r="HH1674" s="1"/>
    </row>
    <row r="1675" spans="1:216" x14ac:dyDescent="0.3">
      <c r="A1675" s="3"/>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c r="GL1675" s="1"/>
      <c r="GM1675" s="1"/>
      <c r="GN1675" s="1"/>
      <c r="GO1675" s="1"/>
      <c r="GP1675" s="1"/>
      <c r="GQ1675" s="1"/>
      <c r="GR1675" s="1"/>
      <c r="GS1675" s="1"/>
      <c r="GT1675" s="1"/>
      <c r="GU1675" s="1"/>
      <c r="GV1675" s="1"/>
      <c r="GW1675" s="1"/>
      <c r="GX1675" s="1"/>
      <c r="GY1675" s="1"/>
      <c r="GZ1675" s="1"/>
      <c r="HA1675" s="1"/>
      <c r="HB1675" s="1"/>
      <c r="HC1675" s="1"/>
      <c r="HD1675" s="1"/>
      <c r="HE1675" s="1"/>
      <c r="HF1675" s="1"/>
      <c r="HG1675" s="1"/>
      <c r="HH1675" s="1"/>
    </row>
    <row r="1676" spans="1:216" x14ac:dyDescent="0.3">
      <c r="A1676" s="3"/>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c r="EF1676" s="1"/>
      <c r="EG1676" s="1"/>
      <c r="EH1676" s="1"/>
      <c r="EI1676" s="1"/>
      <c r="EJ1676" s="1"/>
      <c r="EK1676" s="1"/>
      <c r="EL1676" s="1"/>
      <c r="EM1676" s="1"/>
      <c r="EN1676" s="1"/>
      <c r="EO1676" s="1"/>
      <c r="EP1676" s="1"/>
      <c r="EQ1676" s="1"/>
      <c r="ER1676" s="1"/>
      <c r="ES1676" s="1"/>
      <c r="ET1676" s="1"/>
      <c r="EU1676" s="1"/>
      <c r="EV1676" s="1"/>
      <c r="EW1676" s="1"/>
      <c r="EX1676" s="1"/>
      <c r="EY1676" s="1"/>
      <c r="EZ1676" s="1"/>
      <c r="FA1676" s="1"/>
      <c r="FB1676" s="1"/>
      <c r="FC1676" s="1"/>
      <c r="FD1676" s="1"/>
      <c r="FE1676" s="1"/>
      <c r="FF1676" s="1"/>
      <c r="FG1676" s="1"/>
      <c r="FH1676" s="1"/>
      <c r="FI1676" s="1"/>
      <c r="FJ1676" s="1"/>
      <c r="FK1676" s="1"/>
      <c r="FL1676" s="1"/>
      <c r="FM1676" s="1"/>
      <c r="FN1676" s="1"/>
      <c r="FO1676" s="1"/>
      <c r="FP1676" s="1"/>
      <c r="FQ1676" s="1"/>
      <c r="FR1676" s="1"/>
      <c r="FS1676" s="1"/>
      <c r="FT1676" s="1"/>
      <c r="FU1676" s="1"/>
      <c r="FV1676" s="1"/>
      <c r="FW1676" s="1"/>
      <c r="FX1676" s="1"/>
      <c r="FY1676" s="1"/>
      <c r="FZ1676" s="1"/>
      <c r="GA1676" s="1"/>
      <c r="GB1676" s="1"/>
      <c r="GC1676" s="1"/>
      <c r="GD1676" s="1"/>
      <c r="GE1676" s="1"/>
      <c r="GF1676" s="1"/>
      <c r="GG1676" s="1"/>
      <c r="GH1676" s="1"/>
      <c r="GI1676" s="1"/>
      <c r="GJ1676" s="1"/>
      <c r="GK1676" s="1"/>
      <c r="GL1676" s="1"/>
      <c r="GM1676" s="1"/>
      <c r="GN1676" s="1"/>
      <c r="GO1676" s="1"/>
      <c r="GP1676" s="1"/>
      <c r="GQ1676" s="1"/>
      <c r="GR1676" s="1"/>
      <c r="GS1676" s="1"/>
      <c r="GT1676" s="1"/>
      <c r="GU1676" s="1"/>
      <c r="GV1676" s="1"/>
      <c r="GW1676" s="1"/>
      <c r="GX1676" s="1"/>
      <c r="GY1676" s="1"/>
      <c r="GZ1676" s="1"/>
      <c r="HA1676" s="1"/>
      <c r="HB1676" s="1"/>
      <c r="HC1676" s="1"/>
      <c r="HD1676" s="1"/>
      <c r="HE1676" s="1"/>
      <c r="HF1676" s="1"/>
      <c r="HG1676" s="1"/>
      <c r="HH1676" s="1"/>
    </row>
    <row r="1677" spans="1:216" x14ac:dyDescent="0.3">
      <c r="A1677" s="3"/>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c r="EF1677" s="1"/>
      <c r="EG1677" s="1"/>
      <c r="EH1677" s="1"/>
      <c r="EI1677" s="1"/>
      <c r="EJ1677" s="1"/>
      <c r="EK1677" s="1"/>
      <c r="EL1677" s="1"/>
      <c r="EM1677" s="1"/>
      <c r="EN1677" s="1"/>
      <c r="EO1677" s="1"/>
      <c r="EP1677" s="1"/>
      <c r="EQ1677" s="1"/>
      <c r="ER1677" s="1"/>
      <c r="ES1677" s="1"/>
      <c r="ET1677" s="1"/>
      <c r="EU1677" s="1"/>
      <c r="EV1677" s="1"/>
      <c r="EW1677" s="1"/>
      <c r="EX1677" s="1"/>
      <c r="EY1677" s="1"/>
      <c r="EZ1677" s="1"/>
      <c r="FA1677" s="1"/>
      <c r="FB1677" s="1"/>
      <c r="FC1677" s="1"/>
      <c r="FD1677" s="1"/>
      <c r="FE1677" s="1"/>
      <c r="FF1677" s="1"/>
      <c r="FG1677" s="1"/>
      <c r="FH1677" s="1"/>
      <c r="FI1677" s="1"/>
      <c r="FJ1677" s="1"/>
      <c r="FK1677" s="1"/>
      <c r="FL1677" s="1"/>
      <c r="FM1677" s="1"/>
      <c r="FN1677" s="1"/>
      <c r="FO1677" s="1"/>
      <c r="FP1677" s="1"/>
      <c r="FQ1677" s="1"/>
      <c r="FR1677" s="1"/>
      <c r="FS1677" s="1"/>
      <c r="FT1677" s="1"/>
      <c r="FU1677" s="1"/>
      <c r="FV1677" s="1"/>
      <c r="FW1677" s="1"/>
      <c r="FX1677" s="1"/>
      <c r="FY1677" s="1"/>
      <c r="FZ1677" s="1"/>
      <c r="GA1677" s="1"/>
      <c r="GB1677" s="1"/>
      <c r="GC1677" s="1"/>
      <c r="GD1677" s="1"/>
      <c r="GE1677" s="1"/>
      <c r="GF1677" s="1"/>
      <c r="GG1677" s="1"/>
      <c r="GH1677" s="1"/>
      <c r="GI1677" s="1"/>
      <c r="GJ1677" s="1"/>
      <c r="GK1677" s="1"/>
      <c r="GL1677" s="1"/>
      <c r="GM1677" s="1"/>
      <c r="GN1677" s="1"/>
      <c r="GO1677" s="1"/>
      <c r="GP1677" s="1"/>
      <c r="GQ1677" s="1"/>
      <c r="GR1677" s="1"/>
      <c r="GS1677" s="1"/>
      <c r="GT1677" s="1"/>
      <c r="GU1677" s="1"/>
      <c r="GV1677" s="1"/>
      <c r="GW1677" s="1"/>
      <c r="GX1677" s="1"/>
      <c r="GY1677" s="1"/>
      <c r="GZ1677" s="1"/>
      <c r="HA1677" s="1"/>
      <c r="HB1677" s="1"/>
      <c r="HC1677" s="1"/>
      <c r="HD1677" s="1"/>
      <c r="HE1677" s="1"/>
      <c r="HF1677" s="1"/>
      <c r="HG1677" s="1"/>
      <c r="HH1677" s="1"/>
    </row>
    <row r="1678" spans="1:216" x14ac:dyDescent="0.3">
      <c r="A1678" s="3"/>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c r="EF1678" s="1"/>
      <c r="EG1678" s="1"/>
      <c r="EH1678" s="1"/>
      <c r="EI1678" s="1"/>
      <c r="EJ1678" s="1"/>
      <c r="EK1678" s="1"/>
      <c r="EL1678" s="1"/>
      <c r="EM1678" s="1"/>
      <c r="EN1678" s="1"/>
      <c r="EO1678" s="1"/>
      <c r="EP1678" s="1"/>
      <c r="EQ1678" s="1"/>
      <c r="ER1678" s="1"/>
      <c r="ES1678" s="1"/>
      <c r="ET1678" s="1"/>
      <c r="EU1678" s="1"/>
      <c r="EV1678" s="1"/>
      <c r="EW1678" s="1"/>
      <c r="EX1678" s="1"/>
      <c r="EY1678" s="1"/>
      <c r="EZ1678" s="1"/>
      <c r="FA1678" s="1"/>
      <c r="FB1678" s="1"/>
      <c r="FC1678" s="1"/>
      <c r="FD1678" s="1"/>
      <c r="FE1678" s="1"/>
      <c r="FF1678" s="1"/>
      <c r="FG1678" s="1"/>
      <c r="FH1678" s="1"/>
      <c r="FI1678" s="1"/>
      <c r="FJ1678" s="1"/>
      <c r="FK1678" s="1"/>
      <c r="FL1678" s="1"/>
      <c r="FM1678" s="1"/>
      <c r="FN1678" s="1"/>
      <c r="FO1678" s="1"/>
      <c r="FP1678" s="1"/>
      <c r="FQ1678" s="1"/>
      <c r="FR1678" s="1"/>
      <c r="FS1678" s="1"/>
      <c r="FT1678" s="1"/>
      <c r="FU1678" s="1"/>
      <c r="FV1678" s="1"/>
      <c r="FW1678" s="1"/>
      <c r="FX1678" s="1"/>
      <c r="FY1678" s="1"/>
      <c r="FZ1678" s="1"/>
      <c r="GA1678" s="1"/>
      <c r="GB1678" s="1"/>
      <c r="GC1678" s="1"/>
      <c r="GD1678" s="1"/>
      <c r="GE1678" s="1"/>
      <c r="GF1678" s="1"/>
      <c r="GG1678" s="1"/>
      <c r="GH1678" s="1"/>
      <c r="GI1678" s="1"/>
      <c r="GJ1678" s="1"/>
      <c r="GK1678" s="1"/>
      <c r="GL1678" s="1"/>
      <c r="GM1678" s="1"/>
      <c r="GN1678" s="1"/>
      <c r="GO1678" s="1"/>
      <c r="GP1678" s="1"/>
      <c r="GQ1678" s="1"/>
      <c r="GR1678" s="1"/>
      <c r="GS1678" s="1"/>
      <c r="GT1678" s="1"/>
      <c r="GU1678" s="1"/>
      <c r="GV1678" s="1"/>
      <c r="GW1678" s="1"/>
      <c r="GX1678" s="1"/>
      <c r="GY1678" s="1"/>
      <c r="GZ1678" s="1"/>
      <c r="HA1678" s="1"/>
      <c r="HB1678" s="1"/>
      <c r="HC1678" s="1"/>
      <c r="HD1678" s="1"/>
      <c r="HE1678" s="1"/>
      <c r="HF1678" s="1"/>
      <c r="HG1678" s="1"/>
      <c r="HH1678" s="1"/>
    </row>
    <row r="1679" spans="1:216" x14ac:dyDescent="0.3">
      <c r="A1679" s="3"/>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c r="EF1679" s="1"/>
      <c r="EG1679" s="1"/>
      <c r="EH1679" s="1"/>
      <c r="EI1679" s="1"/>
      <c r="EJ1679" s="1"/>
      <c r="EK1679" s="1"/>
      <c r="EL1679" s="1"/>
      <c r="EM1679" s="1"/>
      <c r="EN1679" s="1"/>
      <c r="EO1679" s="1"/>
      <c r="EP1679" s="1"/>
      <c r="EQ1679" s="1"/>
      <c r="ER1679" s="1"/>
      <c r="ES1679" s="1"/>
      <c r="ET1679" s="1"/>
      <c r="EU1679" s="1"/>
      <c r="EV1679" s="1"/>
      <c r="EW1679" s="1"/>
      <c r="EX1679" s="1"/>
      <c r="EY1679" s="1"/>
      <c r="EZ1679" s="1"/>
      <c r="FA1679" s="1"/>
      <c r="FB1679" s="1"/>
      <c r="FC1679" s="1"/>
      <c r="FD1679" s="1"/>
      <c r="FE1679" s="1"/>
      <c r="FF1679" s="1"/>
      <c r="FG1679" s="1"/>
      <c r="FH1679" s="1"/>
      <c r="FI1679" s="1"/>
      <c r="FJ1679" s="1"/>
      <c r="FK1679" s="1"/>
      <c r="FL1679" s="1"/>
      <c r="FM1679" s="1"/>
      <c r="FN1679" s="1"/>
      <c r="FO1679" s="1"/>
      <c r="FP1679" s="1"/>
      <c r="FQ1679" s="1"/>
      <c r="FR1679" s="1"/>
      <c r="FS1679" s="1"/>
      <c r="FT1679" s="1"/>
      <c r="FU1679" s="1"/>
      <c r="FV1679" s="1"/>
      <c r="FW1679" s="1"/>
      <c r="FX1679" s="1"/>
      <c r="FY1679" s="1"/>
      <c r="FZ1679" s="1"/>
      <c r="GA1679" s="1"/>
      <c r="GB1679" s="1"/>
      <c r="GC1679" s="1"/>
      <c r="GD1679" s="1"/>
      <c r="GE1679" s="1"/>
      <c r="GF1679" s="1"/>
      <c r="GG1679" s="1"/>
      <c r="GH1679" s="1"/>
      <c r="GI1679" s="1"/>
      <c r="GJ1679" s="1"/>
      <c r="GK1679" s="1"/>
      <c r="GL1679" s="1"/>
      <c r="GM1679" s="1"/>
      <c r="GN1679" s="1"/>
      <c r="GO1679" s="1"/>
      <c r="GP1679" s="1"/>
      <c r="GQ1679" s="1"/>
      <c r="GR1679" s="1"/>
      <c r="GS1679" s="1"/>
      <c r="GT1679" s="1"/>
      <c r="GU1679" s="1"/>
      <c r="GV1679" s="1"/>
      <c r="GW1679" s="1"/>
      <c r="GX1679" s="1"/>
      <c r="GY1679" s="1"/>
      <c r="GZ1679" s="1"/>
      <c r="HA1679" s="1"/>
      <c r="HB1679" s="1"/>
      <c r="HC1679" s="1"/>
      <c r="HD1679" s="1"/>
      <c r="HE1679" s="1"/>
      <c r="HF1679" s="1"/>
      <c r="HG1679" s="1"/>
      <c r="HH1679" s="1"/>
    </row>
    <row r="1680" spans="1:216" x14ac:dyDescent="0.3">
      <c r="A1680" s="3"/>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c r="EF1680" s="1"/>
      <c r="EG1680" s="1"/>
      <c r="EH1680" s="1"/>
      <c r="EI1680" s="1"/>
      <c r="EJ1680" s="1"/>
      <c r="EK1680" s="1"/>
      <c r="EL1680" s="1"/>
      <c r="EM1680" s="1"/>
      <c r="EN1680" s="1"/>
      <c r="EO1680" s="1"/>
      <c r="EP1680" s="1"/>
      <c r="EQ1680" s="1"/>
      <c r="ER1680" s="1"/>
      <c r="ES1680" s="1"/>
      <c r="ET1680" s="1"/>
      <c r="EU1680" s="1"/>
      <c r="EV1680" s="1"/>
      <c r="EW1680" s="1"/>
      <c r="EX1680" s="1"/>
      <c r="EY1680" s="1"/>
      <c r="EZ1680" s="1"/>
      <c r="FA1680" s="1"/>
      <c r="FB1680" s="1"/>
      <c r="FC1680" s="1"/>
      <c r="FD1680" s="1"/>
      <c r="FE1680" s="1"/>
      <c r="FF1680" s="1"/>
      <c r="FG1680" s="1"/>
      <c r="FH1680" s="1"/>
      <c r="FI1680" s="1"/>
      <c r="FJ1680" s="1"/>
      <c r="FK1680" s="1"/>
      <c r="FL1680" s="1"/>
      <c r="FM1680" s="1"/>
      <c r="FN1680" s="1"/>
      <c r="FO1680" s="1"/>
      <c r="FP1680" s="1"/>
      <c r="FQ1680" s="1"/>
      <c r="FR1680" s="1"/>
      <c r="FS1680" s="1"/>
      <c r="FT1680" s="1"/>
      <c r="FU1680" s="1"/>
      <c r="FV1680" s="1"/>
      <c r="FW1680" s="1"/>
      <c r="FX1680" s="1"/>
      <c r="FY1680" s="1"/>
      <c r="FZ1680" s="1"/>
      <c r="GA1680" s="1"/>
      <c r="GB1680" s="1"/>
      <c r="GC1680" s="1"/>
      <c r="GD1680" s="1"/>
      <c r="GE1680" s="1"/>
      <c r="GF1680" s="1"/>
      <c r="GG1680" s="1"/>
      <c r="GH1680" s="1"/>
      <c r="GI1680" s="1"/>
      <c r="GJ1680" s="1"/>
      <c r="GK1680" s="1"/>
      <c r="GL1680" s="1"/>
      <c r="GM1680" s="1"/>
      <c r="GN1680" s="1"/>
      <c r="GO1680" s="1"/>
      <c r="GP1680" s="1"/>
      <c r="GQ1680" s="1"/>
      <c r="GR1680" s="1"/>
      <c r="GS1680" s="1"/>
      <c r="GT1680" s="1"/>
      <c r="GU1680" s="1"/>
      <c r="GV1680" s="1"/>
      <c r="GW1680" s="1"/>
      <c r="GX1680" s="1"/>
      <c r="GY1680" s="1"/>
      <c r="GZ1680" s="1"/>
      <c r="HA1680" s="1"/>
      <c r="HB1680" s="1"/>
      <c r="HC1680" s="1"/>
      <c r="HD1680" s="1"/>
      <c r="HE1680" s="1"/>
      <c r="HF1680" s="1"/>
      <c r="HG1680" s="1"/>
      <c r="HH1680" s="1"/>
    </row>
    <row r="1681" spans="1:216" x14ac:dyDescent="0.3">
      <c r="A1681" s="3"/>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c r="EF1681" s="1"/>
      <c r="EG1681" s="1"/>
      <c r="EH1681" s="1"/>
      <c r="EI1681" s="1"/>
      <c r="EJ1681" s="1"/>
      <c r="EK1681" s="1"/>
      <c r="EL1681" s="1"/>
      <c r="EM1681" s="1"/>
      <c r="EN1681" s="1"/>
      <c r="EO1681" s="1"/>
      <c r="EP1681" s="1"/>
      <c r="EQ1681" s="1"/>
      <c r="ER1681" s="1"/>
      <c r="ES1681" s="1"/>
      <c r="ET1681" s="1"/>
      <c r="EU1681" s="1"/>
      <c r="EV1681" s="1"/>
      <c r="EW1681" s="1"/>
      <c r="EX1681" s="1"/>
      <c r="EY1681" s="1"/>
      <c r="EZ1681" s="1"/>
      <c r="FA1681" s="1"/>
      <c r="FB1681" s="1"/>
      <c r="FC1681" s="1"/>
      <c r="FD1681" s="1"/>
      <c r="FE1681" s="1"/>
      <c r="FF1681" s="1"/>
      <c r="FG1681" s="1"/>
      <c r="FH1681" s="1"/>
      <c r="FI1681" s="1"/>
      <c r="FJ1681" s="1"/>
      <c r="FK1681" s="1"/>
      <c r="FL1681" s="1"/>
      <c r="FM1681" s="1"/>
      <c r="FN1681" s="1"/>
      <c r="FO1681" s="1"/>
      <c r="FP1681" s="1"/>
      <c r="FQ1681" s="1"/>
      <c r="FR1681" s="1"/>
      <c r="FS1681" s="1"/>
      <c r="FT1681" s="1"/>
      <c r="FU1681" s="1"/>
      <c r="FV1681" s="1"/>
      <c r="FW1681" s="1"/>
      <c r="FX1681" s="1"/>
      <c r="FY1681" s="1"/>
      <c r="FZ1681" s="1"/>
      <c r="GA1681" s="1"/>
      <c r="GB1681" s="1"/>
      <c r="GC1681" s="1"/>
      <c r="GD1681" s="1"/>
      <c r="GE1681" s="1"/>
      <c r="GF1681" s="1"/>
      <c r="GG1681" s="1"/>
      <c r="GH1681" s="1"/>
      <c r="GI1681" s="1"/>
      <c r="GJ1681" s="1"/>
      <c r="GK1681" s="1"/>
      <c r="GL1681" s="1"/>
      <c r="GM1681" s="1"/>
      <c r="GN1681" s="1"/>
      <c r="GO1681" s="1"/>
      <c r="GP1681" s="1"/>
      <c r="GQ1681" s="1"/>
      <c r="GR1681" s="1"/>
      <c r="GS1681" s="1"/>
      <c r="GT1681" s="1"/>
      <c r="GU1681" s="1"/>
      <c r="GV1681" s="1"/>
      <c r="GW1681" s="1"/>
      <c r="GX1681" s="1"/>
      <c r="GY1681" s="1"/>
      <c r="GZ1681" s="1"/>
      <c r="HA1681" s="1"/>
      <c r="HB1681" s="1"/>
      <c r="HC1681" s="1"/>
      <c r="HD1681" s="1"/>
      <c r="HE1681" s="1"/>
      <c r="HF1681" s="1"/>
      <c r="HG1681" s="1"/>
      <c r="HH1681" s="1"/>
    </row>
    <row r="1682" spans="1:216" x14ac:dyDescent="0.3">
      <c r="A1682" s="3"/>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c r="GL1682" s="1"/>
      <c r="GM1682" s="1"/>
      <c r="GN1682" s="1"/>
      <c r="GO1682" s="1"/>
      <c r="GP1682" s="1"/>
      <c r="GQ1682" s="1"/>
      <c r="GR1682" s="1"/>
      <c r="GS1682" s="1"/>
      <c r="GT1682" s="1"/>
      <c r="GU1682" s="1"/>
      <c r="GV1682" s="1"/>
      <c r="GW1682" s="1"/>
      <c r="GX1682" s="1"/>
      <c r="GY1682" s="1"/>
      <c r="GZ1682" s="1"/>
      <c r="HA1682" s="1"/>
      <c r="HB1682" s="1"/>
      <c r="HC1682" s="1"/>
      <c r="HD1682" s="1"/>
      <c r="HE1682" s="1"/>
      <c r="HF1682" s="1"/>
      <c r="HG1682" s="1"/>
      <c r="HH1682" s="1"/>
    </row>
    <row r="1683" spans="1:216" x14ac:dyDescent="0.3">
      <c r="A1683" s="3"/>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c r="FN1683" s="1"/>
      <c r="FO1683" s="1"/>
      <c r="FP1683" s="1"/>
      <c r="FQ1683" s="1"/>
      <c r="FR1683" s="1"/>
      <c r="FS1683" s="1"/>
      <c r="FT1683" s="1"/>
      <c r="FU1683" s="1"/>
      <c r="FV1683" s="1"/>
      <c r="FW1683" s="1"/>
      <c r="FX1683" s="1"/>
      <c r="FY1683" s="1"/>
      <c r="FZ1683" s="1"/>
      <c r="GA1683" s="1"/>
      <c r="GB1683" s="1"/>
      <c r="GC1683" s="1"/>
      <c r="GD1683" s="1"/>
      <c r="GE1683" s="1"/>
      <c r="GF1683" s="1"/>
      <c r="GG1683" s="1"/>
      <c r="GH1683" s="1"/>
      <c r="GI1683" s="1"/>
      <c r="GJ1683" s="1"/>
      <c r="GK1683" s="1"/>
      <c r="GL1683" s="1"/>
      <c r="GM1683" s="1"/>
      <c r="GN1683" s="1"/>
      <c r="GO1683" s="1"/>
      <c r="GP1683" s="1"/>
      <c r="GQ1683" s="1"/>
      <c r="GR1683" s="1"/>
      <c r="GS1683" s="1"/>
      <c r="GT1683" s="1"/>
      <c r="GU1683" s="1"/>
      <c r="GV1683" s="1"/>
      <c r="GW1683" s="1"/>
      <c r="GX1683" s="1"/>
      <c r="GY1683" s="1"/>
      <c r="GZ1683" s="1"/>
      <c r="HA1683" s="1"/>
      <c r="HB1683" s="1"/>
      <c r="HC1683" s="1"/>
      <c r="HD1683" s="1"/>
      <c r="HE1683" s="1"/>
      <c r="HF1683" s="1"/>
      <c r="HG1683" s="1"/>
      <c r="HH1683" s="1"/>
    </row>
    <row r="1684" spans="1:216" x14ac:dyDescent="0.3">
      <c r="A1684" s="3"/>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c r="EF1684" s="1"/>
      <c r="EG1684" s="1"/>
      <c r="EH1684" s="1"/>
      <c r="EI1684" s="1"/>
      <c r="EJ1684" s="1"/>
      <c r="EK1684" s="1"/>
      <c r="EL1684" s="1"/>
      <c r="EM1684" s="1"/>
      <c r="EN1684" s="1"/>
      <c r="EO1684" s="1"/>
      <c r="EP1684" s="1"/>
      <c r="EQ1684" s="1"/>
      <c r="ER1684" s="1"/>
      <c r="ES1684" s="1"/>
      <c r="ET1684" s="1"/>
      <c r="EU1684" s="1"/>
      <c r="EV1684" s="1"/>
      <c r="EW1684" s="1"/>
      <c r="EX1684" s="1"/>
      <c r="EY1684" s="1"/>
      <c r="EZ1684" s="1"/>
      <c r="FA1684" s="1"/>
      <c r="FB1684" s="1"/>
      <c r="FC1684" s="1"/>
      <c r="FD1684" s="1"/>
      <c r="FE1684" s="1"/>
      <c r="FF1684" s="1"/>
      <c r="FG1684" s="1"/>
      <c r="FH1684" s="1"/>
      <c r="FI1684" s="1"/>
      <c r="FJ1684" s="1"/>
      <c r="FK1684" s="1"/>
      <c r="FL1684" s="1"/>
      <c r="FM1684" s="1"/>
      <c r="FN1684" s="1"/>
      <c r="FO1684" s="1"/>
      <c r="FP1684" s="1"/>
      <c r="FQ1684" s="1"/>
      <c r="FR1684" s="1"/>
      <c r="FS1684" s="1"/>
      <c r="FT1684" s="1"/>
      <c r="FU1684" s="1"/>
      <c r="FV1684" s="1"/>
      <c r="FW1684" s="1"/>
      <c r="FX1684" s="1"/>
      <c r="FY1684" s="1"/>
      <c r="FZ1684" s="1"/>
      <c r="GA1684" s="1"/>
      <c r="GB1684" s="1"/>
      <c r="GC1684" s="1"/>
      <c r="GD1684" s="1"/>
      <c r="GE1684" s="1"/>
      <c r="GF1684" s="1"/>
      <c r="GG1684" s="1"/>
      <c r="GH1684" s="1"/>
      <c r="GI1684" s="1"/>
      <c r="GJ1684" s="1"/>
      <c r="GK1684" s="1"/>
      <c r="GL1684" s="1"/>
      <c r="GM1684" s="1"/>
      <c r="GN1684" s="1"/>
      <c r="GO1684" s="1"/>
      <c r="GP1684" s="1"/>
      <c r="GQ1684" s="1"/>
      <c r="GR1684" s="1"/>
      <c r="GS1684" s="1"/>
      <c r="GT1684" s="1"/>
      <c r="GU1684" s="1"/>
      <c r="GV1684" s="1"/>
      <c r="GW1684" s="1"/>
      <c r="GX1684" s="1"/>
      <c r="GY1684" s="1"/>
      <c r="GZ1684" s="1"/>
      <c r="HA1684" s="1"/>
      <c r="HB1684" s="1"/>
      <c r="HC1684" s="1"/>
      <c r="HD1684" s="1"/>
      <c r="HE1684" s="1"/>
      <c r="HF1684" s="1"/>
      <c r="HG1684" s="1"/>
      <c r="HH1684" s="1"/>
    </row>
    <row r="1685" spans="1:216" x14ac:dyDescent="0.3">
      <c r="A1685" s="3"/>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c r="EF1685" s="1"/>
      <c r="EG1685" s="1"/>
      <c r="EH1685" s="1"/>
      <c r="EI1685" s="1"/>
      <c r="EJ1685" s="1"/>
      <c r="EK1685" s="1"/>
      <c r="EL1685" s="1"/>
      <c r="EM1685" s="1"/>
      <c r="EN1685" s="1"/>
      <c r="EO1685" s="1"/>
      <c r="EP1685" s="1"/>
      <c r="EQ1685" s="1"/>
      <c r="ER1685" s="1"/>
      <c r="ES1685" s="1"/>
      <c r="ET1685" s="1"/>
      <c r="EU1685" s="1"/>
      <c r="EV1685" s="1"/>
      <c r="EW1685" s="1"/>
      <c r="EX1685" s="1"/>
      <c r="EY1685" s="1"/>
      <c r="EZ1685" s="1"/>
      <c r="FA1685" s="1"/>
      <c r="FB1685" s="1"/>
      <c r="FC1685" s="1"/>
      <c r="FD1685" s="1"/>
      <c r="FE1685" s="1"/>
      <c r="FF1685" s="1"/>
      <c r="FG1685" s="1"/>
      <c r="FH1685" s="1"/>
      <c r="FI1685" s="1"/>
      <c r="FJ1685" s="1"/>
      <c r="FK1685" s="1"/>
      <c r="FL1685" s="1"/>
      <c r="FM1685" s="1"/>
      <c r="FN1685" s="1"/>
      <c r="FO1685" s="1"/>
      <c r="FP1685" s="1"/>
      <c r="FQ1685" s="1"/>
      <c r="FR1685" s="1"/>
      <c r="FS1685" s="1"/>
      <c r="FT1685" s="1"/>
      <c r="FU1685" s="1"/>
      <c r="FV1685" s="1"/>
      <c r="FW1685" s="1"/>
      <c r="FX1685" s="1"/>
      <c r="FY1685" s="1"/>
      <c r="FZ1685" s="1"/>
      <c r="GA1685" s="1"/>
      <c r="GB1685" s="1"/>
      <c r="GC1685" s="1"/>
      <c r="GD1685" s="1"/>
      <c r="GE1685" s="1"/>
      <c r="GF1685" s="1"/>
      <c r="GG1685" s="1"/>
      <c r="GH1685" s="1"/>
      <c r="GI1685" s="1"/>
      <c r="GJ1685" s="1"/>
      <c r="GK1685" s="1"/>
      <c r="GL1685" s="1"/>
      <c r="GM1685" s="1"/>
      <c r="GN1685" s="1"/>
      <c r="GO1685" s="1"/>
      <c r="GP1685" s="1"/>
      <c r="GQ1685" s="1"/>
      <c r="GR1685" s="1"/>
      <c r="GS1685" s="1"/>
      <c r="GT1685" s="1"/>
      <c r="GU1685" s="1"/>
      <c r="GV1685" s="1"/>
      <c r="GW1685" s="1"/>
      <c r="GX1685" s="1"/>
      <c r="GY1685" s="1"/>
      <c r="GZ1685" s="1"/>
      <c r="HA1685" s="1"/>
      <c r="HB1685" s="1"/>
      <c r="HC1685" s="1"/>
      <c r="HD1685" s="1"/>
      <c r="HE1685" s="1"/>
      <c r="HF1685" s="1"/>
      <c r="HG1685" s="1"/>
      <c r="HH1685" s="1"/>
    </row>
    <row r="1686" spans="1:216" x14ac:dyDescent="0.3">
      <c r="A1686" s="3"/>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c r="EF1686" s="1"/>
      <c r="EG1686" s="1"/>
      <c r="EH1686" s="1"/>
      <c r="EI1686" s="1"/>
      <c r="EJ1686" s="1"/>
      <c r="EK1686" s="1"/>
      <c r="EL1686" s="1"/>
      <c r="EM1686" s="1"/>
      <c r="EN1686" s="1"/>
      <c r="EO1686" s="1"/>
      <c r="EP1686" s="1"/>
      <c r="EQ1686" s="1"/>
      <c r="ER1686" s="1"/>
      <c r="ES1686" s="1"/>
      <c r="ET1686" s="1"/>
      <c r="EU1686" s="1"/>
      <c r="EV1686" s="1"/>
      <c r="EW1686" s="1"/>
      <c r="EX1686" s="1"/>
      <c r="EY1686" s="1"/>
      <c r="EZ1686" s="1"/>
      <c r="FA1686" s="1"/>
      <c r="FB1686" s="1"/>
      <c r="FC1686" s="1"/>
      <c r="FD1686" s="1"/>
      <c r="FE1686" s="1"/>
      <c r="FF1686" s="1"/>
      <c r="FG1686" s="1"/>
      <c r="FH1686" s="1"/>
      <c r="FI1686" s="1"/>
      <c r="FJ1686" s="1"/>
      <c r="FK1686" s="1"/>
      <c r="FL1686" s="1"/>
      <c r="FM1686" s="1"/>
      <c r="FN1686" s="1"/>
      <c r="FO1686" s="1"/>
      <c r="FP1686" s="1"/>
      <c r="FQ1686" s="1"/>
      <c r="FR1686" s="1"/>
      <c r="FS1686" s="1"/>
      <c r="FT1686" s="1"/>
      <c r="FU1686" s="1"/>
      <c r="FV1686" s="1"/>
      <c r="FW1686" s="1"/>
      <c r="FX1686" s="1"/>
      <c r="FY1686" s="1"/>
      <c r="FZ1686" s="1"/>
      <c r="GA1686" s="1"/>
      <c r="GB1686" s="1"/>
      <c r="GC1686" s="1"/>
      <c r="GD1686" s="1"/>
      <c r="GE1686" s="1"/>
      <c r="GF1686" s="1"/>
      <c r="GG1686" s="1"/>
      <c r="GH1686" s="1"/>
      <c r="GI1686" s="1"/>
      <c r="GJ1686" s="1"/>
      <c r="GK1686" s="1"/>
      <c r="GL1686" s="1"/>
      <c r="GM1686" s="1"/>
      <c r="GN1686" s="1"/>
      <c r="GO1686" s="1"/>
      <c r="GP1686" s="1"/>
      <c r="GQ1686" s="1"/>
      <c r="GR1686" s="1"/>
      <c r="GS1686" s="1"/>
      <c r="GT1686" s="1"/>
      <c r="GU1686" s="1"/>
      <c r="GV1686" s="1"/>
      <c r="GW1686" s="1"/>
      <c r="GX1686" s="1"/>
      <c r="GY1686" s="1"/>
      <c r="GZ1686" s="1"/>
      <c r="HA1686" s="1"/>
      <c r="HB1686" s="1"/>
      <c r="HC1686" s="1"/>
      <c r="HD1686" s="1"/>
      <c r="HE1686" s="1"/>
      <c r="HF1686" s="1"/>
      <c r="HG1686" s="1"/>
      <c r="HH1686" s="1"/>
    </row>
    <row r="1687" spans="1:216" x14ac:dyDescent="0.3">
      <c r="A1687" s="3"/>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c r="FN1687" s="1"/>
      <c r="FO1687" s="1"/>
      <c r="FP1687" s="1"/>
      <c r="FQ1687" s="1"/>
      <c r="FR1687" s="1"/>
      <c r="FS1687" s="1"/>
      <c r="FT1687" s="1"/>
      <c r="FU1687" s="1"/>
      <c r="FV1687" s="1"/>
      <c r="FW1687" s="1"/>
      <c r="FX1687" s="1"/>
      <c r="FY1687" s="1"/>
      <c r="FZ1687" s="1"/>
      <c r="GA1687" s="1"/>
      <c r="GB1687" s="1"/>
      <c r="GC1687" s="1"/>
      <c r="GD1687" s="1"/>
      <c r="GE1687" s="1"/>
      <c r="GF1687" s="1"/>
      <c r="GG1687" s="1"/>
      <c r="GH1687" s="1"/>
      <c r="GI1687" s="1"/>
      <c r="GJ1687" s="1"/>
      <c r="GK1687" s="1"/>
      <c r="GL1687" s="1"/>
      <c r="GM1687" s="1"/>
      <c r="GN1687" s="1"/>
      <c r="GO1687" s="1"/>
      <c r="GP1687" s="1"/>
      <c r="GQ1687" s="1"/>
      <c r="GR1687" s="1"/>
      <c r="GS1687" s="1"/>
      <c r="GT1687" s="1"/>
      <c r="GU1687" s="1"/>
      <c r="GV1687" s="1"/>
      <c r="GW1687" s="1"/>
      <c r="GX1687" s="1"/>
      <c r="GY1687" s="1"/>
      <c r="GZ1687" s="1"/>
      <c r="HA1687" s="1"/>
      <c r="HB1687" s="1"/>
      <c r="HC1687" s="1"/>
      <c r="HD1687" s="1"/>
      <c r="HE1687" s="1"/>
      <c r="HF1687" s="1"/>
      <c r="HG1687" s="1"/>
      <c r="HH1687" s="1"/>
    </row>
    <row r="1688" spans="1:216" x14ac:dyDescent="0.3">
      <c r="A1688" s="3"/>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c r="EF1688" s="1"/>
      <c r="EG1688" s="1"/>
      <c r="EH1688" s="1"/>
      <c r="EI1688" s="1"/>
      <c r="EJ1688" s="1"/>
      <c r="EK1688" s="1"/>
      <c r="EL1688" s="1"/>
      <c r="EM1688" s="1"/>
      <c r="EN1688" s="1"/>
      <c r="EO1688" s="1"/>
      <c r="EP1688" s="1"/>
      <c r="EQ1688" s="1"/>
      <c r="ER1688" s="1"/>
      <c r="ES1688" s="1"/>
      <c r="ET1688" s="1"/>
      <c r="EU1688" s="1"/>
      <c r="EV1688" s="1"/>
      <c r="EW1688" s="1"/>
      <c r="EX1688" s="1"/>
      <c r="EY1688" s="1"/>
      <c r="EZ1688" s="1"/>
      <c r="FA1688" s="1"/>
      <c r="FB1688" s="1"/>
      <c r="FC1688" s="1"/>
      <c r="FD1688" s="1"/>
      <c r="FE1688" s="1"/>
      <c r="FF1688" s="1"/>
      <c r="FG1688" s="1"/>
      <c r="FH1688" s="1"/>
      <c r="FI1688" s="1"/>
      <c r="FJ1688" s="1"/>
      <c r="FK1688" s="1"/>
      <c r="FL1688" s="1"/>
      <c r="FM1688" s="1"/>
      <c r="FN1688" s="1"/>
      <c r="FO1688" s="1"/>
      <c r="FP1688" s="1"/>
      <c r="FQ1688" s="1"/>
      <c r="FR1688" s="1"/>
      <c r="FS1688" s="1"/>
      <c r="FT1688" s="1"/>
      <c r="FU1688" s="1"/>
      <c r="FV1688" s="1"/>
      <c r="FW1688" s="1"/>
      <c r="FX1688" s="1"/>
      <c r="FY1688" s="1"/>
      <c r="FZ1688" s="1"/>
      <c r="GA1688" s="1"/>
      <c r="GB1688" s="1"/>
      <c r="GC1688" s="1"/>
      <c r="GD1688" s="1"/>
      <c r="GE1688" s="1"/>
      <c r="GF1688" s="1"/>
      <c r="GG1688" s="1"/>
      <c r="GH1688" s="1"/>
      <c r="GI1688" s="1"/>
      <c r="GJ1688" s="1"/>
      <c r="GK1688" s="1"/>
      <c r="GL1688" s="1"/>
      <c r="GM1688" s="1"/>
      <c r="GN1688" s="1"/>
      <c r="GO1688" s="1"/>
      <c r="GP1688" s="1"/>
      <c r="GQ1688" s="1"/>
      <c r="GR1688" s="1"/>
      <c r="GS1688" s="1"/>
      <c r="GT1688" s="1"/>
      <c r="GU1688" s="1"/>
      <c r="GV1688" s="1"/>
      <c r="GW1688" s="1"/>
      <c r="GX1688" s="1"/>
      <c r="GY1688" s="1"/>
      <c r="GZ1688" s="1"/>
      <c r="HA1688" s="1"/>
      <c r="HB1688" s="1"/>
      <c r="HC1688" s="1"/>
      <c r="HD1688" s="1"/>
      <c r="HE1688" s="1"/>
      <c r="HF1688" s="1"/>
      <c r="HG1688" s="1"/>
      <c r="HH1688" s="1"/>
    </row>
    <row r="1689" spans="1:216" x14ac:dyDescent="0.3">
      <c r="A1689" s="3"/>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c r="EF1689" s="1"/>
      <c r="EG1689" s="1"/>
      <c r="EH1689" s="1"/>
      <c r="EI1689" s="1"/>
      <c r="EJ1689" s="1"/>
      <c r="EK1689" s="1"/>
      <c r="EL1689" s="1"/>
      <c r="EM1689" s="1"/>
      <c r="EN1689" s="1"/>
      <c r="EO1689" s="1"/>
      <c r="EP1689" s="1"/>
      <c r="EQ1689" s="1"/>
      <c r="ER1689" s="1"/>
      <c r="ES1689" s="1"/>
      <c r="ET1689" s="1"/>
      <c r="EU1689" s="1"/>
      <c r="EV1689" s="1"/>
      <c r="EW1689" s="1"/>
      <c r="EX1689" s="1"/>
      <c r="EY1689" s="1"/>
      <c r="EZ1689" s="1"/>
      <c r="FA1689" s="1"/>
      <c r="FB1689" s="1"/>
      <c r="FC1689" s="1"/>
      <c r="FD1689" s="1"/>
      <c r="FE1689" s="1"/>
      <c r="FF1689" s="1"/>
      <c r="FG1689" s="1"/>
      <c r="FH1689" s="1"/>
      <c r="FI1689" s="1"/>
      <c r="FJ1689" s="1"/>
      <c r="FK1689" s="1"/>
      <c r="FL1689" s="1"/>
      <c r="FM1689" s="1"/>
      <c r="FN1689" s="1"/>
      <c r="FO1689" s="1"/>
      <c r="FP1689" s="1"/>
      <c r="FQ1689" s="1"/>
      <c r="FR1689" s="1"/>
      <c r="FS1689" s="1"/>
      <c r="FT1689" s="1"/>
      <c r="FU1689" s="1"/>
      <c r="FV1689" s="1"/>
      <c r="FW1689" s="1"/>
      <c r="FX1689" s="1"/>
      <c r="FY1689" s="1"/>
      <c r="FZ1689" s="1"/>
      <c r="GA1689" s="1"/>
      <c r="GB1689" s="1"/>
      <c r="GC1689" s="1"/>
      <c r="GD1689" s="1"/>
      <c r="GE1689" s="1"/>
      <c r="GF1689" s="1"/>
      <c r="GG1689" s="1"/>
      <c r="GH1689" s="1"/>
      <c r="GI1689" s="1"/>
      <c r="GJ1689" s="1"/>
      <c r="GK1689" s="1"/>
      <c r="GL1689" s="1"/>
      <c r="GM1689" s="1"/>
      <c r="GN1689" s="1"/>
      <c r="GO1689" s="1"/>
      <c r="GP1689" s="1"/>
      <c r="GQ1689" s="1"/>
      <c r="GR1689" s="1"/>
      <c r="GS1689" s="1"/>
      <c r="GT1689" s="1"/>
      <c r="GU1689" s="1"/>
      <c r="GV1689" s="1"/>
      <c r="GW1689" s="1"/>
      <c r="GX1689" s="1"/>
      <c r="GY1689" s="1"/>
      <c r="GZ1689" s="1"/>
      <c r="HA1689" s="1"/>
      <c r="HB1689" s="1"/>
      <c r="HC1689" s="1"/>
      <c r="HD1689" s="1"/>
      <c r="HE1689" s="1"/>
      <c r="HF1689" s="1"/>
      <c r="HG1689" s="1"/>
      <c r="HH1689" s="1"/>
    </row>
    <row r="1690" spans="1:216" x14ac:dyDescent="0.3">
      <c r="A1690" s="3"/>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c r="EF1690" s="1"/>
      <c r="EG1690" s="1"/>
      <c r="EH1690" s="1"/>
      <c r="EI1690" s="1"/>
      <c r="EJ1690" s="1"/>
      <c r="EK1690" s="1"/>
      <c r="EL1690" s="1"/>
      <c r="EM1690" s="1"/>
      <c r="EN1690" s="1"/>
      <c r="EO1690" s="1"/>
      <c r="EP1690" s="1"/>
      <c r="EQ1690" s="1"/>
      <c r="ER1690" s="1"/>
      <c r="ES1690" s="1"/>
      <c r="ET1690" s="1"/>
      <c r="EU1690" s="1"/>
      <c r="EV1690" s="1"/>
      <c r="EW1690" s="1"/>
      <c r="EX1690" s="1"/>
      <c r="EY1690" s="1"/>
      <c r="EZ1690" s="1"/>
      <c r="FA1690" s="1"/>
      <c r="FB1690" s="1"/>
      <c r="FC1690" s="1"/>
      <c r="FD1690" s="1"/>
      <c r="FE1690" s="1"/>
      <c r="FF1690" s="1"/>
      <c r="FG1690" s="1"/>
      <c r="FH1690" s="1"/>
      <c r="FI1690" s="1"/>
      <c r="FJ1690" s="1"/>
      <c r="FK1690" s="1"/>
      <c r="FL1690" s="1"/>
      <c r="FM1690" s="1"/>
      <c r="FN1690" s="1"/>
      <c r="FO1690" s="1"/>
      <c r="FP1690" s="1"/>
      <c r="FQ1690" s="1"/>
      <c r="FR1690" s="1"/>
      <c r="FS1690" s="1"/>
      <c r="FT1690" s="1"/>
      <c r="FU1690" s="1"/>
      <c r="FV1690" s="1"/>
      <c r="FW1690" s="1"/>
      <c r="FX1690" s="1"/>
      <c r="FY1690" s="1"/>
      <c r="FZ1690" s="1"/>
      <c r="GA1690" s="1"/>
      <c r="GB1690" s="1"/>
      <c r="GC1690" s="1"/>
      <c r="GD1690" s="1"/>
      <c r="GE1690" s="1"/>
      <c r="GF1690" s="1"/>
      <c r="GG1690" s="1"/>
      <c r="GH1690" s="1"/>
      <c r="GI1690" s="1"/>
      <c r="GJ1690" s="1"/>
      <c r="GK1690" s="1"/>
      <c r="GL1690" s="1"/>
      <c r="GM1690" s="1"/>
      <c r="GN1690" s="1"/>
      <c r="GO1690" s="1"/>
      <c r="GP1690" s="1"/>
      <c r="GQ1690" s="1"/>
      <c r="GR1690" s="1"/>
      <c r="GS1690" s="1"/>
      <c r="GT1690" s="1"/>
      <c r="GU1690" s="1"/>
      <c r="GV1690" s="1"/>
      <c r="GW1690" s="1"/>
      <c r="GX1690" s="1"/>
      <c r="GY1690" s="1"/>
      <c r="GZ1690" s="1"/>
      <c r="HA1690" s="1"/>
      <c r="HB1690" s="1"/>
      <c r="HC1690" s="1"/>
      <c r="HD1690" s="1"/>
      <c r="HE1690" s="1"/>
      <c r="HF1690" s="1"/>
      <c r="HG1690" s="1"/>
      <c r="HH1690" s="1"/>
    </row>
    <row r="1691" spans="1:216" x14ac:dyDescent="0.3">
      <c r="A1691" s="3"/>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c r="EF1691" s="1"/>
      <c r="EG1691" s="1"/>
      <c r="EH1691" s="1"/>
      <c r="EI1691" s="1"/>
      <c r="EJ1691" s="1"/>
      <c r="EK1691" s="1"/>
      <c r="EL1691" s="1"/>
      <c r="EM1691" s="1"/>
      <c r="EN1691" s="1"/>
      <c r="EO1691" s="1"/>
      <c r="EP1691" s="1"/>
      <c r="EQ1691" s="1"/>
      <c r="ER1691" s="1"/>
      <c r="ES1691" s="1"/>
      <c r="ET1691" s="1"/>
      <c r="EU1691" s="1"/>
      <c r="EV1691" s="1"/>
      <c r="EW1691" s="1"/>
      <c r="EX1691" s="1"/>
      <c r="EY1691" s="1"/>
      <c r="EZ1691" s="1"/>
      <c r="FA1691" s="1"/>
      <c r="FB1691" s="1"/>
      <c r="FC1691" s="1"/>
      <c r="FD1691" s="1"/>
      <c r="FE1691" s="1"/>
      <c r="FF1691" s="1"/>
      <c r="FG1691" s="1"/>
      <c r="FH1691" s="1"/>
      <c r="FI1691" s="1"/>
      <c r="FJ1691" s="1"/>
      <c r="FK1691" s="1"/>
      <c r="FL1691" s="1"/>
      <c r="FM1691" s="1"/>
      <c r="FN1691" s="1"/>
      <c r="FO1691" s="1"/>
      <c r="FP1691" s="1"/>
      <c r="FQ1691" s="1"/>
      <c r="FR1691" s="1"/>
      <c r="FS1691" s="1"/>
      <c r="FT1691" s="1"/>
      <c r="FU1691" s="1"/>
      <c r="FV1691" s="1"/>
      <c r="FW1691" s="1"/>
      <c r="FX1691" s="1"/>
      <c r="FY1691" s="1"/>
      <c r="FZ1691" s="1"/>
      <c r="GA1691" s="1"/>
      <c r="GB1691" s="1"/>
      <c r="GC1691" s="1"/>
      <c r="GD1691" s="1"/>
      <c r="GE1691" s="1"/>
      <c r="GF1691" s="1"/>
      <c r="GG1691" s="1"/>
      <c r="GH1691" s="1"/>
      <c r="GI1691" s="1"/>
      <c r="GJ1691" s="1"/>
      <c r="GK1691" s="1"/>
      <c r="GL1691" s="1"/>
      <c r="GM1691" s="1"/>
      <c r="GN1691" s="1"/>
      <c r="GO1691" s="1"/>
      <c r="GP1691" s="1"/>
      <c r="GQ1691" s="1"/>
      <c r="GR1691" s="1"/>
      <c r="GS1691" s="1"/>
      <c r="GT1691" s="1"/>
      <c r="GU1691" s="1"/>
      <c r="GV1691" s="1"/>
      <c r="GW1691" s="1"/>
      <c r="GX1691" s="1"/>
      <c r="GY1691" s="1"/>
      <c r="GZ1691" s="1"/>
      <c r="HA1691" s="1"/>
      <c r="HB1691" s="1"/>
      <c r="HC1691" s="1"/>
      <c r="HD1691" s="1"/>
      <c r="HE1691" s="1"/>
      <c r="HF1691" s="1"/>
      <c r="HG1691" s="1"/>
      <c r="HH1691" s="1"/>
    </row>
    <row r="1692" spans="1:216" x14ac:dyDescent="0.3">
      <c r="A1692" s="3"/>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c r="EF1692" s="1"/>
      <c r="EG1692" s="1"/>
      <c r="EH1692" s="1"/>
      <c r="EI1692" s="1"/>
      <c r="EJ1692" s="1"/>
      <c r="EK1692" s="1"/>
      <c r="EL1692" s="1"/>
      <c r="EM1692" s="1"/>
      <c r="EN1692" s="1"/>
      <c r="EO1692" s="1"/>
      <c r="EP1692" s="1"/>
      <c r="EQ1692" s="1"/>
      <c r="ER1692" s="1"/>
      <c r="ES1692" s="1"/>
      <c r="ET1692" s="1"/>
      <c r="EU1692" s="1"/>
      <c r="EV1692" s="1"/>
      <c r="EW1692" s="1"/>
      <c r="EX1692" s="1"/>
      <c r="EY1692" s="1"/>
      <c r="EZ1692" s="1"/>
      <c r="FA1692" s="1"/>
      <c r="FB1692" s="1"/>
      <c r="FC1692" s="1"/>
      <c r="FD1692" s="1"/>
      <c r="FE1692" s="1"/>
      <c r="FF1692" s="1"/>
      <c r="FG1692" s="1"/>
      <c r="FH1692" s="1"/>
      <c r="FI1692" s="1"/>
      <c r="FJ1692" s="1"/>
      <c r="FK1692" s="1"/>
      <c r="FL1692" s="1"/>
      <c r="FM1692" s="1"/>
      <c r="FN1692" s="1"/>
      <c r="FO1692" s="1"/>
      <c r="FP1692" s="1"/>
      <c r="FQ1692" s="1"/>
      <c r="FR1692" s="1"/>
      <c r="FS1692" s="1"/>
      <c r="FT1692" s="1"/>
      <c r="FU1692" s="1"/>
      <c r="FV1692" s="1"/>
      <c r="FW1692" s="1"/>
      <c r="FX1692" s="1"/>
      <c r="FY1692" s="1"/>
      <c r="FZ1692" s="1"/>
      <c r="GA1692" s="1"/>
      <c r="GB1692" s="1"/>
      <c r="GC1692" s="1"/>
      <c r="GD1692" s="1"/>
      <c r="GE1692" s="1"/>
      <c r="GF1692" s="1"/>
      <c r="GG1692" s="1"/>
      <c r="GH1692" s="1"/>
      <c r="GI1692" s="1"/>
      <c r="GJ1692" s="1"/>
      <c r="GK1692" s="1"/>
      <c r="GL1692" s="1"/>
      <c r="GM1692" s="1"/>
      <c r="GN1692" s="1"/>
      <c r="GO1692" s="1"/>
      <c r="GP1692" s="1"/>
      <c r="GQ1692" s="1"/>
      <c r="GR1692" s="1"/>
      <c r="GS1692" s="1"/>
      <c r="GT1692" s="1"/>
      <c r="GU1692" s="1"/>
      <c r="GV1692" s="1"/>
      <c r="GW1692" s="1"/>
      <c r="GX1692" s="1"/>
      <c r="GY1692" s="1"/>
      <c r="GZ1692" s="1"/>
      <c r="HA1692" s="1"/>
      <c r="HB1692" s="1"/>
      <c r="HC1692" s="1"/>
      <c r="HD1692" s="1"/>
      <c r="HE1692" s="1"/>
      <c r="HF1692" s="1"/>
      <c r="HG1692" s="1"/>
      <c r="HH1692" s="1"/>
    </row>
    <row r="1693" spans="1:216" x14ac:dyDescent="0.3">
      <c r="A1693" s="3"/>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c r="EF1693" s="1"/>
      <c r="EG1693" s="1"/>
      <c r="EH1693" s="1"/>
      <c r="EI1693" s="1"/>
      <c r="EJ1693" s="1"/>
      <c r="EK1693" s="1"/>
      <c r="EL1693" s="1"/>
      <c r="EM1693" s="1"/>
      <c r="EN1693" s="1"/>
      <c r="EO1693" s="1"/>
      <c r="EP1693" s="1"/>
      <c r="EQ1693" s="1"/>
      <c r="ER1693" s="1"/>
      <c r="ES1693" s="1"/>
      <c r="ET1693" s="1"/>
      <c r="EU1693" s="1"/>
      <c r="EV1693" s="1"/>
      <c r="EW1693" s="1"/>
      <c r="EX1693" s="1"/>
      <c r="EY1693" s="1"/>
      <c r="EZ1693" s="1"/>
      <c r="FA1693" s="1"/>
      <c r="FB1693" s="1"/>
      <c r="FC1693" s="1"/>
      <c r="FD1693" s="1"/>
      <c r="FE1693" s="1"/>
      <c r="FF1693" s="1"/>
      <c r="FG1693" s="1"/>
      <c r="FH1693" s="1"/>
      <c r="FI1693" s="1"/>
      <c r="FJ1693" s="1"/>
      <c r="FK1693" s="1"/>
      <c r="FL1693" s="1"/>
      <c r="FM1693" s="1"/>
      <c r="FN1693" s="1"/>
      <c r="FO1693" s="1"/>
      <c r="FP1693" s="1"/>
      <c r="FQ1693" s="1"/>
      <c r="FR1693" s="1"/>
      <c r="FS1693" s="1"/>
      <c r="FT1693" s="1"/>
      <c r="FU1693" s="1"/>
      <c r="FV1693" s="1"/>
      <c r="FW1693" s="1"/>
      <c r="FX1693" s="1"/>
      <c r="FY1693" s="1"/>
      <c r="FZ1693" s="1"/>
      <c r="GA1693" s="1"/>
      <c r="GB1693" s="1"/>
      <c r="GC1693" s="1"/>
      <c r="GD1693" s="1"/>
      <c r="GE1693" s="1"/>
      <c r="GF1693" s="1"/>
      <c r="GG1693" s="1"/>
      <c r="GH1693" s="1"/>
      <c r="GI1693" s="1"/>
      <c r="GJ1693" s="1"/>
      <c r="GK1693" s="1"/>
      <c r="GL1693" s="1"/>
      <c r="GM1693" s="1"/>
      <c r="GN1693" s="1"/>
      <c r="GO1693" s="1"/>
      <c r="GP1693" s="1"/>
      <c r="GQ1693" s="1"/>
      <c r="GR1693" s="1"/>
      <c r="GS1693" s="1"/>
      <c r="GT1693" s="1"/>
      <c r="GU1693" s="1"/>
      <c r="GV1693" s="1"/>
      <c r="GW1693" s="1"/>
      <c r="GX1693" s="1"/>
      <c r="GY1693" s="1"/>
      <c r="GZ1693" s="1"/>
      <c r="HA1693" s="1"/>
      <c r="HB1693" s="1"/>
      <c r="HC1693" s="1"/>
      <c r="HD1693" s="1"/>
      <c r="HE1693" s="1"/>
      <c r="HF1693" s="1"/>
      <c r="HG1693" s="1"/>
      <c r="HH1693" s="1"/>
    </row>
    <row r="1694" spans="1:216" x14ac:dyDescent="0.3">
      <c r="A1694" s="3"/>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c r="EF1694" s="1"/>
      <c r="EG1694" s="1"/>
      <c r="EH1694" s="1"/>
      <c r="EI1694" s="1"/>
      <c r="EJ1694" s="1"/>
      <c r="EK1694" s="1"/>
      <c r="EL1694" s="1"/>
      <c r="EM1694" s="1"/>
      <c r="EN1694" s="1"/>
      <c r="EO1694" s="1"/>
      <c r="EP1694" s="1"/>
      <c r="EQ1694" s="1"/>
      <c r="ER1694" s="1"/>
      <c r="ES1694" s="1"/>
      <c r="ET1694" s="1"/>
      <c r="EU1694" s="1"/>
      <c r="EV1694" s="1"/>
      <c r="EW1694" s="1"/>
      <c r="EX1694" s="1"/>
      <c r="EY1694" s="1"/>
      <c r="EZ1694" s="1"/>
      <c r="FA1694" s="1"/>
      <c r="FB1694" s="1"/>
      <c r="FC1694" s="1"/>
      <c r="FD1694" s="1"/>
      <c r="FE1694" s="1"/>
      <c r="FF1694" s="1"/>
      <c r="FG1694" s="1"/>
      <c r="FH1694" s="1"/>
      <c r="FI1694" s="1"/>
      <c r="FJ1694" s="1"/>
      <c r="FK1694" s="1"/>
      <c r="FL1694" s="1"/>
      <c r="FM1694" s="1"/>
      <c r="FN1694" s="1"/>
      <c r="FO1694" s="1"/>
      <c r="FP1694" s="1"/>
      <c r="FQ1694" s="1"/>
      <c r="FR1694" s="1"/>
      <c r="FS1694" s="1"/>
      <c r="FT1694" s="1"/>
      <c r="FU1694" s="1"/>
      <c r="FV1694" s="1"/>
      <c r="FW1694" s="1"/>
      <c r="FX1694" s="1"/>
      <c r="FY1694" s="1"/>
      <c r="FZ1694" s="1"/>
      <c r="GA1694" s="1"/>
      <c r="GB1694" s="1"/>
      <c r="GC1694" s="1"/>
      <c r="GD1694" s="1"/>
      <c r="GE1694" s="1"/>
      <c r="GF1694" s="1"/>
      <c r="GG1694" s="1"/>
      <c r="GH1694" s="1"/>
      <c r="GI1694" s="1"/>
      <c r="GJ1694" s="1"/>
      <c r="GK1694" s="1"/>
      <c r="GL1694" s="1"/>
      <c r="GM1694" s="1"/>
      <c r="GN1694" s="1"/>
      <c r="GO1694" s="1"/>
      <c r="GP1694" s="1"/>
      <c r="GQ1694" s="1"/>
      <c r="GR1694" s="1"/>
      <c r="GS1694" s="1"/>
      <c r="GT1694" s="1"/>
      <c r="GU1694" s="1"/>
      <c r="GV1694" s="1"/>
      <c r="GW1694" s="1"/>
      <c r="GX1694" s="1"/>
      <c r="GY1694" s="1"/>
      <c r="GZ1694" s="1"/>
      <c r="HA1694" s="1"/>
      <c r="HB1694" s="1"/>
      <c r="HC1694" s="1"/>
      <c r="HD1694" s="1"/>
      <c r="HE1694" s="1"/>
      <c r="HF1694" s="1"/>
      <c r="HG1694" s="1"/>
      <c r="HH1694" s="1"/>
    </row>
    <row r="1695" spans="1:216" x14ac:dyDescent="0.3">
      <c r="A1695" s="3"/>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c r="EF1695" s="1"/>
      <c r="EG1695" s="1"/>
      <c r="EH1695" s="1"/>
      <c r="EI1695" s="1"/>
      <c r="EJ1695" s="1"/>
      <c r="EK1695" s="1"/>
      <c r="EL1695" s="1"/>
      <c r="EM1695" s="1"/>
      <c r="EN1695" s="1"/>
      <c r="EO1695" s="1"/>
      <c r="EP1695" s="1"/>
      <c r="EQ1695" s="1"/>
      <c r="ER1695" s="1"/>
      <c r="ES1695" s="1"/>
      <c r="ET1695" s="1"/>
      <c r="EU1695" s="1"/>
      <c r="EV1695" s="1"/>
      <c r="EW1695" s="1"/>
      <c r="EX1695" s="1"/>
      <c r="EY1695" s="1"/>
      <c r="EZ1695" s="1"/>
      <c r="FA1695" s="1"/>
      <c r="FB1695" s="1"/>
      <c r="FC1695" s="1"/>
      <c r="FD1695" s="1"/>
      <c r="FE1695" s="1"/>
      <c r="FF1695" s="1"/>
      <c r="FG1695" s="1"/>
      <c r="FH1695" s="1"/>
      <c r="FI1695" s="1"/>
      <c r="FJ1695" s="1"/>
      <c r="FK1695" s="1"/>
      <c r="FL1695" s="1"/>
      <c r="FM1695" s="1"/>
      <c r="FN1695" s="1"/>
      <c r="FO1695" s="1"/>
      <c r="FP1695" s="1"/>
      <c r="FQ1695" s="1"/>
      <c r="FR1695" s="1"/>
      <c r="FS1695" s="1"/>
      <c r="FT1695" s="1"/>
      <c r="FU1695" s="1"/>
      <c r="FV1695" s="1"/>
      <c r="FW1695" s="1"/>
      <c r="FX1695" s="1"/>
      <c r="FY1695" s="1"/>
      <c r="FZ1695" s="1"/>
      <c r="GA1695" s="1"/>
      <c r="GB1695" s="1"/>
      <c r="GC1695" s="1"/>
      <c r="GD1695" s="1"/>
      <c r="GE1695" s="1"/>
      <c r="GF1695" s="1"/>
      <c r="GG1695" s="1"/>
      <c r="GH1695" s="1"/>
      <c r="GI1695" s="1"/>
      <c r="GJ1695" s="1"/>
      <c r="GK1695" s="1"/>
      <c r="GL1695" s="1"/>
      <c r="GM1695" s="1"/>
      <c r="GN1695" s="1"/>
      <c r="GO1695" s="1"/>
      <c r="GP1695" s="1"/>
      <c r="GQ1695" s="1"/>
      <c r="GR1695" s="1"/>
      <c r="GS1695" s="1"/>
      <c r="GT1695" s="1"/>
      <c r="GU1695" s="1"/>
      <c r="GV1695" s="1"/>
      <c r="GW1695" s="1"/>
      <c r="GX1695" s="1"/>
      <c r="GY1695" s="1"/>
      <c r="GZ1695" s="1"/>
      <c r="HA1695" s="1"/>
      <c r="HB1695" s="1"/>
      <c r="HC1695" s="1"/>
      <c r="HD1695" s="1"/>
      <c r="HE1695" s="1"/>
      <c r="HF1695" s="1"/>
      <c r="HG1695" s="1"/>
      <c r="HH1695" s="1"/>
    </row>
    <row r="1696" spans="1:216" x14ac:dyDescent="0.3">
      <c r="A1696" s="3"/>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c r="DV1696" s="1"/>
      <c r="DW1696" s="1"/>
      <c r="DX1696" s="1"/>
      <c r="DY1696" s="1"/>
      <c r="DZ1696" s="1"/>
      <c r="EA1696" s="1"/>
      <c r="EB1696" s="1"/>
      <c r="EC1696" s="1"/>
      <c r="ED1696" s="1"/>
      <c r="EE1696" s="1"/>
      <c r="EF1696" s="1"/>
      <c r="EG1696" s="1"/>
      <c r="EH1696" s="1"/>
      <c r="EI1696" s="1"/>
      <c r="EJ1696" s="1"/>
      <c r="EK1696" s="1"/>
      <c r="EL1696" s="1"/>
      <c r="EM1696" s="1"/>
      <c r="EN1696" s="1"/>
      <c r="EO1696" s="1"/>
      <c r="EP1696" s="1"/>
      <c r="EQ1696" s="1"/>
      <c r="ER1696" s="1"/>
      <c r="ES1696" s="1"/>
      <c r="ET1696" s="1"/>
      <c r="EU1696" s="1"/>
      <c r="EV1696" s="1"/>
      <c r="EW1696" s="1"/>
      <c r="EX1696" s="1"/>
      <c r="EY1696" s="1"/>
      <c r="EZ1696" s="1"/>
      <c r="FA1696" s="1"/>
      <c r="FB1696" s="1"/>
      <c r="FC1696" s="1"/>
      <c r="FD1696" s="1"/>
      <c r="FE1696" s="1"/>
      <c r="FF1696" s="1"/>
      <c r="FG1696" s="1"/>
      <c r="FH1696" s="1"/>
      <c r="FI1696" s="1"/>
      <c r="FJ1696" s="1"/>
      <c r="FK1696" s="1"/>
      <c r="FL1696" s="1"/>
      <c r="FM1696" s="1"/>
      <c r="FN1696" s="1"/>
      <c r="FO1696" s="1"/>
      <c r="FP1696" s="1"/>
      <c r="FQ1696" s="1"/>
      <c r="FR1696" s="1"/>
      <c r="FS1696" s="1"/>
      <c r="FT1696" s="1"/>
      <c r="FU1696" s="1"/>
      <c r="FV1696" s="1"/>
      <c r="FW1696" s="1"/>
      <c r="FX1696" s="1"/>
      <c r="FY1696" s="1"/>
      <c r="FZ1696" s="1"/>
      <c r="GA1696" s="1"/>
      <c r="GB1696" s="1"/>
      <c r="GC1696" s="1"/>
      <c r="GD1696" s="1"/>
      <c r="GE1696" s="1"/>
      <c r="GF1696" s="1"/>
      <c r="GG1696" s="1"/>
      <c r="GH1696" s="1"/>
      <c r="GI1696" s="1"/>
      <c r="GJ1696" s="1"/>
      <c r="GK1696" s="1"/>
      <c r="GL1696" s="1"/>
      <c r="GM1696" s="1"/>
      <c r="GN1696" s="1"/>
      <c r="GO1696" s="1"/>
      <c r="GP1696" s="1"/>
      <c r="GQ1696" s="1"/>
      <c r="GR1696" s="1"/>
      <c r="GS1696" s="1"/>
      <c r="GT1696" s="1"/>
      <c r="GU1696" s="1"/>
      <c r="GV1696" s="1"/>
      <c r="GW1696" s="1"/>
      <c r="GX1696" s="1"/>
      <c r="GY1696" s="1"/>
      <c r="GZ1696" s="1"/>
      <c r="HA1696" s="1"/>
      <c r="HB1696" s="1"/>
      <c r="HC1696" s="1"/>
      <c r="HD1696" s="1"/>
      <c r="HE1696" s="1"/>
      <c r="HF1696" s="1"/>
      <c r="HG1696" s="1"/>
      <c r="HH1696" s="1"/>
    </row>
    <row r="1697" spans="1:216" x14ac:dyDescent="0.3">
      <c r="A1697" s="3"/>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c r="EF1697" s="1"/>
      <c r="EG1697" s="1"/>
      <c r="EH1697" s="1"/>
      <c r="EI1697" s="1"/>
      <c r="EJ1697" s="1"/>
      <c r="EK1697" s="1"/>
      <c r="EL1697" s="1"/>
      <c r="EM1697" s="1"/>
      <c r="EN1697" s="1"/>
      <c r="EO1697" s="1"/>
      <c r="EP1697" s="1"/>
      <c r="EQ1697" s="1"/>
      <c r="ER1697" s="1"/>
      <c r="ES1697" s="1"/>
      <c r="ET1697" s="1"/>
      <c r="EU1697" s="1"/>
      <c r="EV1697" s="1"/>
      <c r="EW1697" s="1"/>
      <c r="EX1697" s="1"/>
      <c r="EY1697" s="1"/>
      <c r="EZ1697" s="1"/>
      <c r="FA1697" s="1"/>
      <c r="FB1697" s="1"/>
      <c r="FC1697" s="1"/>
      <c r="FD1697" s="1"/>
      <c r="FE1697" s="1"/>
      <c r="FF1697" s="1"/>
      <c r="FG1697" s="1"/>
      <c r="FH1697" s="1"/>
      <c r="FI1697" s="1"/>
      <c r="FJ1697" s="1"/>
      <c r="FK1697" s="1"/>
      <c r="FL1697" s="1"/>
      <c r="FM1697" s="1"/>
      <c r="FN1697" s="1"/>
      <c r="FO1697" s="1"/>
      <c r="FP1697" s="1"/>
      <c r="FQ1697" s="1"/>
      <c r="FR1697" s="1"/>
      <c r="FS1697" s="1"/>
      <c r="FT1697" s="1"/>
      <c r="FU1697" s="1"/>
      <c r="FV1697" s="1"/>
      <c r="FW1697" s="1"/>
      <c r="FX1697" s="1"/>
      <c r="FY1697" s="1"/>
      <c r="FZ1697" s="1"/>
      <c r="GA1697" s="1"/>
      <c r="GB1697" s="1"/>
      <c r="GC1697" s="1"/>
      <c r="GD1697" s="1"/>
      <c r="GE1697" s="1"/>
      <c r="GF1697" s="1"/>
      <c r="GG1697" s="1"/>
      <c r="GH1697" s="1"/>
      <c r="GI1697" s="1"/>
      <c r="GJ1697" s="1"/>
      <c r="GK1697" s="1"/>
      <c r="GL1697" s="1"/>
      <c r="GM1697" s="1"/>
      <c r="GN1697" s="1"/>
      <c r="GO1697" s="1"/>
      <c r="GP1697" s="1"/>
      <c r="GQ1697" s="1"/>
      <c r="GR1697" s="1"/>
      <c r="GS1697" s="1"/>
      <c r="GT1697" s="1"/>
      <c r="GU1697" s="1"/>
      <c r="GV1697" s="1"/>
      <c r="GW1697" s="1"/>
      <c r="GX1697" s="1"/>
      <c r="GY1697" s="1"/>
      <c r="GZ1697" s="1"/>
      <c r="HA1697" s="1"/>
      <c r="HB1697" s="1"/>
      <c r="HC1697" s="1"/>
      <c r="HD1697" s="1"/>
      <c r="HE1697" s="1"/>
      <c r="HF1697" s="1"/>
      <c r="HG1697" s="1"/>
      <c r="HH1697" s="1"/>
    </row>
    <row r="1698" spans="1:216" x14ac:dyDescent="0.3">
      <c r="A1698" s="3"/>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c r="EF1698" s="1"/>
      <c r="EG1698" s="1"/>
      <c r="EH1698" s="1"/>
      <c r="EI1698" s="1"/>
      <c r="EJ1698" s="1"/>
      <c r="EK1698" s="1"/>
      <c r="EL1698" s="1"/>
      <c r="EM1698" s="1"/>
      <c r="EN1698" s="1"/>
      <c r="EO1698" s="1"/>
      <c r="EP1698" s="1"/>
      <c r="EQ1698" s="1"/>
      <c r="ER1698" s="1"/>
      <c r="ES1698" s="1"/>
      <c r="ET1698" s="1"/>
      <c r="EU1698" s="1"/>
      <c r="EV1698" s="1"/>
      <c r="EW1698" s="1"/>
      <c r="EX1698" s="1"/>
      <c r="EY1698" s="1"/>
      <c r="EZ1698" s="1"/>
      <c r="FA1698" s="1"/>
      <c r="FB1698" s="1"/>
      <c r="FC1698" s="1"/>
      <c r="FD1698" s="1"/>
      <c r="FE1698" s="1"/>
      <c r="FF1698" s="1"/>
      <c r="FG1698" s="1"/>
      <c r="FH1698" s="1"/>
      <c r="FI1698" s="1"/>
      <c r="FJ1698" s="1"/>
      <c r="FK1698" s="1"/>
      <c r="FL1698" s="1"/>
      <c r="FM1698" s="1"/>
      <c r="FN1698" s="1"/>
      <c r="FO1698" s="1"/>
      <c r="FP1698" s="1"/>
      <c r="FQ1698" s="1"/>
      <c r="FR1698" s="1"/>
      <c r="FS1698" s="1"/>
      <c r="FT1698" s="1"/>
      <c r="FU1698" s="1"/>
      <c r="FV1698" s="1"/>
      <c r="FW1698" s="1"/>
      <c r="FX1698" s="1"/>
      <c r="FY1698" s="1"/>
      <c r="FZ1698" s="1"/>
      <c r="GA1698" s="1"/>
      <c r="GB1698" s="1"/>
      <c r="GC1698" s="1"/>
      <c r="GD1698" s="1"/>
      <c r="GE1698" s="1"/>
      <c r="GF1698" s="1"/>
      <c r="GG1698" s="1"/>
      <c r="GH1698" s="1"/>
      <c r="GI1698" s="1"/>
      <c r="GJ1698" s="1"/>
      <c r="GK1698" s="1"/>
      <c r="GL1698" s="1"/>
      <c r="GM1698" s="1"/>
      <c r="GN1698" s="1"/>
      <c r="GO1698" s="1"/>
      <c r="GP1698" s="1"/>
      <c r="GQ1698" s="1"/>
      <c r="GR1698" s="1"/>
      <c r="GS1698" s="1"/>
      <c r="GT1698" s="1"/>
      <c r="GU1698" s="1"/>
      <c r="GV1698" s="1"/>
      <c r="GW1698" s="1"/>
      <c r="GX1698" s="1"/>
      <c r="GY1698" s="1"/>
      <c r="GZ1698" s="1"/>
      <c r="HA1698" s="1"/>
      <c r="HB1698" s="1"/>
      <c r="HC1698" s="1"/>
      <c r="HD1698" s="1"/>
      <c r="HE1698" s="1"/>
      <c r="HF1698" s="1"/>
      <c r="HG1698" s="1"/>
      <c r="HH1698" s="1"/>
    </row>
    <row r="1699" spans="1:216" x14ac:dyDescent="0.3">
      <c r="A1699" s="3"/>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c r="EF1699" s="1"/>
      <c r="EG1699" s="1"/>
      <c r="EH1699" s="1"/>
      <c r="EI1699" s="1"/>
      <c r="EJ1699" s="1"/>
      <c r="EK1699" s="1"/>
      <c r="EL1699" s="1"/>
      <c r="EM1699" s="1"/>
      <c r="EN1699" s="1"/>
      <c r="EO1699" s="1"/>
      <c r="EP1699" s="1"/>
      <c r="EQ1699" s="1"/>
      <c r="ER1699" s="1"/>
      <c r="ES1699" s="1"/>
      <c r="ET1699" s="1"/>
      <c r="EU1699" s="1"/>
      <c r="EV1699" s="1"/>
      <c r="EW1699" s="1"/>
      <c r="EX1699" s="1"/>
      <c r="EY1699" s="1"/>
      <c r="EZ1699" s="1"/>
      <c r="FA1699" s="1"/>
      <c r="FB1699" s="1"/>
      <c r="FC1699" s="1"/>
      <c r="FD1699" s="1"/>
      <c r="FE1699" s="1"/>
      <c r="FF1699" s="1"/>
      <c r="FG1699" s="1"/>
      <c r="FH1699" s="1"/>
      <c r="FI1699" s="1"/>
      <c r="FJ1699" s="1"/>
      <c r="FK1699" s="1"/>
      <c r="FL1699" s="1"/>
      <c r="FM1699" s="1"/>
      <c r="FN1699" s="1"/>
      <c r="FO1699" s="1"/>
      <c r="FP1699" s="1"/>
      <c r="FQ1699" s="1"/>
      <c r="FR1699" s="1"/>
      <c r="FS1699" s="1"/>
      <c r="FT1699" s="1"/>
      <c r="FU1699" s="1"/>
      <c r="FV1699" s="1"/>
      <c r="FW1699" s="1"/>
      <c r="FX1699" s="1"/>
      <c r="FY1699" s="1"/>
      <c r="FZ1699" s="1"/>
      <c r="GA1699" s="1"/>
      <c r="GB1699" s="1"/>
      <c r="GC1699" s="1"/>
      <c r="GD1699" s="1"/>
      <c r="GE1699" s="1"/>
      <c r="GF1699" s="1"/>
      <c r="GG1699" s="1"/>
      <c r="GH1699" s="1"/>
      <c r="GI1699" s="1"/>
      <c r="GJ1699" s="1"/>
      <c r="GK1699" s="1"/>
      <c r="GL1699" s="1"/>
      <c r="GM1699" s="1"/>
      <c r="GN1699" s="1"/>
      <c r="GO1699" s="1"/>
      <c r="GP1699" s="1"/>
      <c r="GQ1699" s="1"/>
      <c r="GR1699" s="1"/>
      <c r="GS1699" s="1"/>
      <c r="GT1699" s="1"/>
      <c r="GU1699" s="1"/>
      <c r="GV1699" s="1"/>
      <c r="GW1699" s="1"/>
      <c r="GX1699" s="1"/>
      <c r="GY1699" s="1"/>
      <c r="GZ1699" s="1"/>
      <c r="HA1699" s="1"/>
      <c r="HB1699" s="1"/>
      <c r="HC1699" s="1"/>
      <c r="HD1699" s="1"/>
      <c r="HE1699" s="1"/>
      <c r="HF1699" s="1"/>
      <c r="HG1699" s="1"/>
      <c r="HH1699" s="1"/>
    </row>
    <row r="1700" spans="1:216" x14ac:dyDescent="0.3">
      <c r="A1700" s="3"/>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c r="EF1700" s="1"/>
      <c r="EG1700" s="1"/>
      <c r="EH1700" s="1"/>
      <c r="EI1700" s="1"/>
      <c r="EJ1700" s="1"/>
      <c r="EK1700" s="1"/>
      <c r="EL1700" s="1"/>
      <c r="EM1700" s="1"/>
      <c r="EN1700" s="1"/>
      <c r="EO1700" s="1"/>
      <c r="EP1700" s="1"/>
      <c r="EQ1700" s="1"/>
      <c r="ER1700" s="1"/>
      <c r="ES1700" s="1"/>
      <c r="ET1700" s="1"/>
      <c r="EU1700" s="1"/>
      <c r="EV1700" s="1"/>
      <c r="EW1700" s="1"/>
      <c r="EX1700" s="1"/>
      <c r="EY1700" s="1"/>
      <c r="EZ1700" s="1"/>
      <c r="FA1700" s="1"/>
      <c r="FB1700" s="1"/>
      <c r="FC1700" s="1"/>
      <c r="FD1700" s="1"/>
      <c r="FE1700" s="1"/>
      <c r="FF1700" s="1"/>
      <c r="FG1700" s="1"/>
      <c r="FH1700" s="1"/>
      <c r="FI1700" s="1"/>
      <c r="FJ1700" s="1"/>
      <c r="FK1700" s="1"/>
      <c r="FL1700" s="1"/>
      <c r="FM1700" s="1"/>
      <c r="FN1700" s="1"/>
      <c r="FO1700" s="1"/>
      <c r="FP1700" s="1"/>
      <c r="FQ1700" s="1"/>
      <c r="FR1700" s="1"/>
      <c r="FS1700" s="1"/>
      <c r="FT1700" s="1"/>
      <c r="FU1700" s="1"/>
      <c r="FV1700" s="1"/>
      <c r="FW1700" s="1"/>
      <c r="FX1700" s="1"/>
      <c r="FY1700" s="1"/>
      <c r="FZ1700" s="1"/>
      <c r="GA1700" s="1"/>
      <c r="GB1700" s="1"/>
      <c r="GC1700" s="1"/>
      <c r="GD1700" s="1"/>
      <c r="GE1700" s="1"/>
      <c r="GF1700" s="1"/>
      <c r="GG1700" s="1"/>
      <c r="GH1700" s="1"/>
      <c r="GI1700" s="1"/>
      <c r="GJ1700" s="1"/>
      <c r="GK1700" s="1"/>
      <c r="GL1700" s="1"/>
      <c r="GM1700" s="1"/>
      <c r="GN1700" s="1"/>
      <c r="GO1700" s="1"/>
      <c r="GP1700" s="1"/>
      <c r="GQ1700" s="1"/>
      <c r="GR1700" s="1"/>
      <c r="GS1700" s="1"/>
      <c r="GT1700" s="1"/>
      <c r="GU1700" s="1"/>
      <c r="GV1700" s="1"/>
      <c r="GW1700" s="1"/>
      <c r="GX1700" s="1"/>
      <c r="GY1700" s="1"/>
      <c r="GZ1700" s="1"/>
      <c r="HA1700" s="1"/>
      <c r="HB1700" s="1"/>
      <c r="HC1700" s="1"/>
      <c r="HD1700" s="1"/>
      <c r="HE1700" s="1"/>
      <c r="HF1700" s="1"/>
      <c r="HG1700" s="1"/>
      <c r="HH1700" s="1"/>
    </row>
    <row r="1701" spans="1:216" x14ac:dyDescent="0.3">
      <c r="A1701" s="3"/>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c r="EF1701" s="1"/>
      <c r="EG1701" s="1"/>
      <c r="EH1701" s="1"/>
      <c r="EI1701" s="1"/>
      <c r="EJ1701" s="1"/>
      <c r="EK1701" s="1"/>
      <c r="EL1701" s="1"/>
      <c r="EM1701" s="1"/>
      <c r="EN1701" s="1"/>
      <c r="EO1701" s="1"/>
      <c r="EP1701" s="1"/>
      <c r="EQ1701" s="1"/>
      <c r="ER1701" s="1"/>
      <c r="ES1701" s="1"/>
      <c r="ET1701" s="1"/>
      <c r="EU1701" s="1"/>
      <c r="EV1701" s="1"/>
      <c r="EW1701" s="1"/>
      <c r="EX1701" s="1"/>
      <c r="EY1701" s="1"/>
      <c r="EZ1701" s="1"/>
      <c r="FA1701" s="1"/>
      <c r="FB1701" s="1"/>
      <c r="FC1701" s="1"/>
      <c r="FD1701" s="1"/>
      <c r="FE1701" s="1"/>
      <c r="FF1701" s="1"/>
      <c r="FG1701" s="1"/>
      <c r="FH1701" s="1"/>
      <c r="FI1701" s="1"/>
      <c r="FJ1701" s="1"/>
      <c r="FK1701" s="1"/>
      <c r="FL1701" s="1"/>
      <c r="FM1701" s="1"/>
      <c r="FN1701" s="1"/>
      <c r="FO1701" s="1"/>
      <c r="FP1701" s="1"/>
      <c r="FQ1701" s="1"/>
      <c r="FR1701" s="1"/>
      <c r="FS1701" s="1"/>
      <c r="FT1701" s="1"/>
      <c r="FU1701" s="1"/>
      <c r="FV1701" s="1"/>
      <c r="FW1701" s="1"/>
      <c r="FX1701" s="1"/>
      <c r="FY1701" s="1"/>
      <c r="FZ1701" s="1"/>
      <c r="GA1701" s="1"/>
      <c r="GB1701" s="1"/>
      <c r="GC1701" s="1"/>
      <c r="GD1701" s="1"/>
      <c r="GE1701" s="1"/>
      <c r="GF1701" s="1"/>
      <c r="GG1701" s="1"/>
      <c r="GH1701" s="1"/>
      <c r="GI1701" s="1"/>
      <c r="GJ1701" s="1"/>
      <c r="GK1701" s="1"/>
      <c r="GL1701" s="1"/>
      <c r="GM1701" s="1"/>
      <c r="GN1701" s="1"/>
      <c r="GO1701" s="1"/>
      <c r="GP1701" s="1"/>
      <c r="GQ1701" s="1"/>
      <c r="GR1701" s="1"/>
      <c r="GS1701" s="1"/>
      <c r="GT1701" s="1"/>
      <c r="GU1701" s="1"/>
      <c r="GV1701" s="1"/>
      <c r="GW1701" s="1"/>
      <c r="GX1701" s="1"/>
      <c r="GY1701" s="1"/>
      <c r="GZ1701" s="1"/>
      <c r="HA1701" s="1"/>
      <c r="HB1701" s="1"/>
      <c r="HC1701" s="1"/>
      <c r="HD1701" s="1"/>
      <c r="HE1701" s="1"/>
      <c r="HF1701" s="1"/>
      <c r="HG1701" s="1"/>
      <c r="HH1701" s="1"/>
    </row>
    <row r="1702" spans="1:216" x14ac:dyDescent="0.3">
      <c r="A1702" s="3"/>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c r="EF1702" s="1"/>
      <c r="EG1702" s="1"/>
      <c r="EH1702" s="1"/>
      <c r="EI1702" s="1"/>
      <c r="EJ1702" s="1"/>
      <c r="EK1702" s="1"/>
      <c r="EL1702" s="1"/>
      <c r="EM1702" s="1"/>
      <c r="EN1702" s="1"/>
      <c r="EO1702" s="1"/>
      <c r="EP1702" s="1"/>
      <c r="EQ1702" s="1"/>
      <c r="ER1702" s="1"/>
      <c r="ES1702" s="1"/>
      <c r="ET1702" s="1"/>
      <c r="EU1702" s="1"/>
      <c r="EV1702" s="1"/>
      <c r="EW1702" s="1"/>
      <c r="EX1702" s="1"/>
      <c r="EY1702" s="1"/>
      <c r="EZ1702" s="1"/>
      <c r="FA1702" s="1"/>
      <c r="FB1702" s="1"/>
      <c r="FC1702" s="1"/>
      <c r="FD1702" s="1"/>
      <c r="FE1702" s="1"/>
      <c r="FF1702" s="1"/>
      <c r="FG1702" s="1"/>
      <c r="FH1702" s="1"/>
      <c r="FI1702" s="1"/>
      <c r="FJ1702" s="1"/>
      <c r="FK1702" s="1"/>
      <c r="FL1702" s="1"/>
      <c r="FM1702" s="1"/>
      <c r="FN1702" s="1"/>
      <c r="FO1702" s="1"/>
      <c r="FP1702" s="1"/>
      <c r="FQ1702" s="1"/>
      <c r="FR1702" s="1"/>
      <c r="FS1702" s="1"/>
      <c r="FT1702" s="1"/>
      <c r="FU1702" s="1"/>
      <c r="FV1702" s="1"/>
      <c r="FW1702" s="1"/>
      <c r="FX1702" s="1"/>
      <c r="FY1702" s="1"/>
      <c r="FZ1702" s="1"/>
      <c r="GA1702" s="1"/>
      <c r="GB1702" s="1"/>
      <c r="GC1702" s="1"/>
      <c r="GD1702" s="1"/>
      <c r="GE1702" s="1"/>
      <c r="GF1702" s="1"/>
      <c r="GG1702" s="1"/>
      <c r="GH1702" s="1"/>
      <c r="GI1702" s="1"/>
      <c r="GJ1702" s="1"/>
      <c r="GK1702" s="1"/>
      <c r="GL1702" s="1"/>
      <c r="GM1702" s="1"/>
      <c r="GN1702" s="1"/>
      <c r="GO1702" s="1"/>
      <c r="GP1702" s="1"/>
      <c r="GQ1702" s="1"/>
      <c r="GR1702" s="1"/>
      <c r="GS1702" s="1"/>
      <c r="GT1702" s="1"/>
      <c r="GU1702" s="1"/>
      <c r="GV1702" s="1"/>
      <c r="GW1702" s="1"/>
      <c r="GX1702" s="1"/>
      <c r="GY1702" s="1"/>
      <c r="GZ1702" s="1"/>
      <c r="HA1702" s="1"/>
      <c r="HB1702" s="1"/>
      <c r="HC1702" s="1"/>
      <c r="HD1702" s="1"/>
      <c r="HE1702" s="1"/>
      <c r="HF1702" s="1"/>
      <c r="HG1702" s="1"/>
      <c r="HH1702" s="1"/>
    </row>
    <row r="1703" spans="1:216" x14ac:dyDescent="0.3">
      <c r="A1703" s="3"/>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c r="EF1703" s="1"/>
      <c r="EG1703" s="1"/>
      <c r="EH1703" s="1"/>
      <c r="EI1703" s="1"/>
      <c r="EJ1703" s="1"/>
      <c r="EK1703" s="1"/>
      <c r="EL1703" s="1"/>
      <c r="EM1703" s="1"/>
      <c r="EN1703" s="1"/>
      <c r="EO1703" s="1"/>
      <c r="EP1703" s="1"/>
      <c r="EQ1703" s="1"/>
      <c r="ER1703" s="1"/>
      <c r="ES1703" s="1"/>
      <c r="ET1703" s="1"/>
      <c r="EU1703" s="1"/>
      <c r="EV1703" s="1"/>
      <c r="EW1703" s="1"/>
      <c r="EX1703" s="1"/>
      <c r="EY1703" s="1"/>
      <c r="EZ1703" s="1"/>
      <c r="FA1703" s="1"/>
      <c r="FB1703" s="1"/>
      <c r="FC1703" s="1"/>
      <c r="FD1703" s="1"/>
      <c r="FE1703" s="1"/>
      <c r="FF1703" s="1"/>
      <c r="FG1703" s="1"/>
      <c r="FH1703" s="1"/>
      <c r="FI1703" s="1"/>
      <c r="FJ1703" s="1"/>
      <c r="FK1703" s="1"/>
      <c r="FL1703" s="1"/>
      <c r="FM1703" s="1"/>
      <c r="FN1703" s="1"/>
      <c r="FO1703" s="1"/>
      <c r="FP1703" s="1"/>
      <c r="FQ1703" s="1"/>
      <c r="FR1703" s="1"/>
      <c r="FS1703" s="1"/>
      <c r="FT1703" s="1"/>
      <c r="FU1703" s="1"/>
      <c r="FV1703" s="1"/>
      <c r="FW1703" s="1"/>
      <c r="FX1703" s="1"/>
      <c r="FY1703" s="1"/>
      <c r="FZ1703" s="1"/>
      <c r="GA1703" s="1"/>
      <c r="GB1703" s="1"/>
      <c r="GC1703" s="1"/>
      <c r="GD1703" s="1"/>
      <c r="GE1703" s="1"/>
      <c r="GF1703" s="1"/>
      <c r="GG1703" s="1"/>
      <c r="GH1703" s="1"/>
      <c r="GI1703" s="1"/>
      <c r="GJ1703" s="1"/>
      <c r="GK1703" s="1"/>
      <c r="GL1703" s="1"/>
      <c r="GM1703" s="1"/>
      <c r="GN1703" s="1"/>
      <c r="GO1703" s="1"/>
      <c r="GP1703" s="1"/>
      <c r="GQ1703" s="1"/>
      <c r="GR1703" s="1"/>
      <c r="GS1703" s="1"/>
      <c r="GT1703" s="1"/>
      <c r="GU1703" s="1"/>
      <c r="GV1703" s="1"/>
      <c r="GW1703" s="1"/>
      <c r="GX1703" s="1"/>
      <c r="GY1703" s="1"/>
      <c r="GZ1703" s="1"/>
      <c r="HA1703" s="1"/>
      <c r="HB1703" s="1"/>
      <c r="HC1703" s="1"/>
      <c r="HD1703" s="1"/>
      <c r="HE1703" s="1"/>
      <c r="HF1703" s="1"/>
      <c r="HG1703" s="1"/>
      <c r="HH1703" s="1"/>
    </row>
    <row r="1704" spans="1:216" x14ac:dyDescent="0.3">
      <c r="A1704" s="3"/>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c r="EF1704" s="1"/>
      <c r="EG1704" s="1"/>
      <c r="EH1704" s="1"/>
      <c r="EI1704" s="1"/>
      <c r="EJ1704" s="1"/>
      <c r="EK1704" s="1"/>
      <c r="EL1704" s="1"/>
      <c r="EM1704" s="1"/>
      <c r="EN1704" s="1"/>
      <c r="EO1704" s="1"/>
      <c r="EP1704" s="1"/>
      <c r="EQ1704" s="1"/>
      <c r="ER1704" s="1"/>
      <c r="ES1704" s="1"/>
      <c r="ET1704" s="1"/>
      <c r="EU1704" s="1"/>
      <c r="EV1704" s="1"/>
      <c r="EW1704" s="1"/>
      <c r="EX1704" s="1"/>
      <c r="EY1704" s="1"/>
      <c r="EZ1704" s="1"/>
      <c r="FA1704" s="1"/>
      <c r="FB1704" s="1"/>
      <c r="FC1704" s="1"/>
      <c r="FD1704" s="1"/>
      <c r="FE1704" s="1"/>
      <c r="FF1704" s="1"/>
      <c r="FG1704" s="1"/>
      <c r="FH1704" s="1"/>
      <c r="FI1704" s="1"/>
      <c r="FJ1704" s="1"/>
      <c r="FK1704" s="1"/>
      <c r="FL1704" s="1"/>
      <c r="FM1704" s="1"/>
      <c r="FN1704" s="1"/>
      <c r="FO1704" s="1"/>
      <c r="FP1704" s="1"/>
      <c r="FQ1704" s="1"/>
      <c r="FR1704" s="1"/>
      <c r="FS1704" s="1"/>
      <c r="FT1704" s="1"/>
      <c r="FU1704" s="1"/>
      <c r="FV1704" s="1"/>
      <c r="FW1704" s="1"/>
      <c r="FX1704" s="1"/>
      <c r="FY1704" s="1"/>
      <c r="FZ1704" s="1"/>
      <c r="GA1704" s="1"/>
      <c r="GB1704" s="1"/>
      <c r="GC1704" s="1"/>
      <c r="GD1704" s="1"/>
      <c r="GE1704" s="1"/>
      <c r="GF1704" s="1"/>
      <c r="GG1704" s="1"/>
      <c r="GH1704" s="1"/>
      <c r="GI1704" s="1"/>
      <c r="GJ1704" s="1"/>
      <c r="GK1704" s="1"/>
      <c r="GL1704" s="1"/>
      <c r="GM1704" s="1"/>
      <c r="GN1704" s="1"/>
      <c r="GO1704" s="1"/>
      <c r="GP1704" s="1"/>
      <c r="GQ1704" s="1"/>
      <c r="GR1704" s="1"/>
      <c r="GS1704" s="1"/>
      <c r="GT1704" s="1"/>
      <c r="GU1704" s="1"/>
      <c r="GV1704" s="1"/>
      <c r="GW1704" s="1"/>
      <c r="GX1704" s="1"/>
      <c r="GY1704" s="1"/>
      <c r="GZ1704" s="1"/>
      <c r="HA1704" s="1"/>
      <c r="HB1704" s="1"/>
      <c r="HC1704" s="1"/>
      <c r="HD1704" s="1"/>
      <c r="HE1704" s="1"/>
      <c r="HF1704" s="1"/>
      <c r="HG1704" s="1"/>
      <c r="HH1704" s="1"/>
    </row>
    <row r="1705" spans="1:216" x14ac:dyDescent="0.3">
      <c r="A1705" s="3"/>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c r="EF1705" s="1"/>
      <c r="EG1705" s="1"/>
      <c r="EH1705" s="1"/>
      <c r="EI1705" s="1"/>
      <c r="EJ1705" s="1"/>
      <c r="EK1705" s="1"/>
      <c r="EL1705" s="1"/>
      <c r="EM1705" s="1"/>
      <c r="EN1705" s="1"/>
      <c r="EO1705" s="1"/>
      <c r="EP1705" s="1"/>
      <c r="EQ1705" s="1"/>
      <c r="ER1705" s="1"/>
      <c r="ES1705" s="1"/>
      <c r="ET1705" s="1"/>
      <c r="EU1705" s="1"/>
      <c r="EV1705" s="1"/>
      <c r="EW1705" s="1"/>
      <c r="EX1705" s="1"/>
      <c r="EY1705" s="1"/>
      <c r="EZ1705" s="1"/>
      <c r="FA1705" s="1"/>
      <c r="FB1705" s="1"/>
      <c r="FC1705" s="1"/>
      <c r="FD1705" s="1"/>
      <c r="FE1705" s="1"/>
      <c r="FF1705" s="1"/>
      <c r="FG1705" s="1"/>
      <c r="FH1705" s="1"/>
      <c r="FI1705" s="1"/>
      <c r="FJ1705" s="1"/>
      <c r="FK1705" s="1"/>
      <c r="FL1705" s="1"/>
      <c r="FM1705" s="1"/>
      <c r="FN1705" s="1"/>
      <c r="FO1705" s="1"/>
      <c r="FP1705" s="1"/>
      <c r="FQ1705" s="1"/>
      <c r="FR1705" s="1"/>
      <c r="FS1705" s="1"/>
      <c r="FT1705" s="1"/>
      <c r="FU1705" s="1"/>
      <c r="FV1705" s="1"/>
      <c r="FW1705" s="1"/>
      <c r="FX1705" s="1"/>
      <c r="FY1705" s="1"/>
      <c r="FZ1705" s="1"/>
      <c r="GA1705" s="1"/>
      <c r="GB1705" s="1"/>
      <c r="GC1705" s="1"/>
      <c r="GD1705" s="1"/>
      <c r="GE1705" s="1"/>
      <c r="GF1705" s="1"/>
      <c r="GG1705" s="1"/>
      <c r="GH1705" s="1"/>
      <c r="GI1705" s="1"/>
      <c r="GJ1705" s="1"/>
      <c r="GK1705" s="1"/>
      <c r="GL1705" s="1"/>
      <c r="GM1705" s="1"/>
      <c r="GN1705" s="1"/>
      <c r="GO1705" s="1"/>
      <c r="GP1705" s="1"/>
      <c r="GQ1705" s="1"/>
      <c r="GR1705" s="1"/>
      <c r="GS1705" s="1"/>
      <c r="GT1705" s="1"/>
      <c r="GU1705" s="1"/>
      <c r="GV1705" s="1"/>
      <c r="GW1705" s="1"/>
      <c r="GX1705" s="1"/>
      <c r="GY1705" s="1"/>
      <c r="GZ1705" s="1"/>
      <c r="HA1705" s="1"/>
      <c r="HB1705" s="1"/>
      <c r="HC1705" s="1"/>
      <c r="HD1705" s="1"/>
      <c r="HE1705" s="1"/>
      <c r="HF1705" s="1"/>
      <c r="HG1705" s="1"/>
      <c r="HH1705" s="1"/>
    </row>
    <row r="1706" spans="1:216" x14ac:dyDescent="0.3">
      <c r="A1706" s="3"/>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c r="EF1706" s="1"/>
      <c r="EG1706" s="1"/>
      <c r="EH1706" s="1"/>
      <c r="EI1706" s="1"/>
      <c r="EJ1706" s="1"/>
      <c r="EK1706" s="1"/>
      <c r="EL1706" s="1"/>
      <c r="EM1706" s="1"/>
      <c r="EN1706" s="1"/>
      <c r="EO1706" s="1"/>
      <c r="EP1706" s="1"/>
      <c r="EQ1706" s="1"/>
      <c r="ER1706" s="1"/>
      <c r="ES1706" s="1"/>
      <c r="ET1706" s="1"/>
      <c r="EU1706" s="1"/>
      <c r="EV1706" s="1"/>
      <c r="EW1706" s="1"/>
      <c r="EX1706" s="1"/>
      <c r="EY1706" s="1"/>
      <c r="EZ1706" s="1"/>
      <c r="FA1706" s="1"/>
      <c r="FB1706" s="1"/>
      <c r="FC1706" s="1"/>
      <c r="FD1706" s="1"/>
      <c r="FE1706" s="1"/>
      <c r="FF1706" s="1"/>
      <c r="FG1706" s="1"/>
      <c r="FH1706" s="1"/>
      <c r="FI1706" s="1"/>
      <c r="FJ1706" s="1"/>
      <c r="FK1706" s="1"/>
      <c r="FL1706" s="1"/>
      <c r="FM1706" s="1"/>
      <c r="FN1706" s="1"/>
      <c r="FO1706" s="1"/>
      <c r="FP1706" s="1"/>
      <c r="FQ1706" s="1"/>
      <c r="FR1706" s="1"/>
      <c r="FS1706" s="1"/>
      <c r="FT1706" s="1"/>
      <c r="FU1706" s="1"/>
      <c r="FV1706" s="1"/>
      <c r="FW1706" s="1"/>
      <c r="FX1706" s="1"/>
      <c r="FY1706" s="1"/>
      <c r="FZ1706" s="1"/>
      <c r="GA1706" s="1"/>
      <c r="GB1706" s="1"/>
      <c r="GC1706" s="1"/>
      <c r="GD1706" s="1"/>
      <c r="GE1706" s="1"/>
      <c r="GF1706" s="1"/>
      <c r="GG1706" s="1"/>
      <c r="GH1706" s="1"/>
      <c r="GI1706" s="1"/>
      <c r="GJ1706" s="1"/>
      <c r="GK1706" s="1"/>
      <c r="GL1706" s="1"/>
      <c r="GM1706" s="1"/>
      <c r="GN1706" s="1"/>
      <c r="GO1706" s="1"/>
      <c r="GP1706" s="1"/>
      <c r="GQ1706" s="1"/>
      <c r="GR1706" s="1"/>
      <c r="GS1706" s="1"/>
      <c r="GT1706" s="1"/>
      <c r="GU1706" s="1"/>
      <c r="GV1706" s="1"/>
      <c r="GW1706" s="1"/>
      <c r="GX1706" s="1"/>
      <c r="GY1706" s="1"/>
      <c r="GZ1706" s="1"/>
      <c r="HA1706" s="1"/>
      <c r="HB1706" s="1"/>
      <c r="HC1706" s="1"/>
      <c r="HD1706" s="1"/>
      <c r="HE1706" s="1"/>
      <c r="HF1706" s="1"/>
      <c r="HG1706" s="1"/>
      <c r="HH1706" s="1"/>
    </row>
    <row r="1707" spans="1:216" x14ac:dyDescent="0.3">
      <c r="A1707" s="3"/>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c r="EF1707" s="1"/>
      <c r="EG1707" s="1"/>
      <c r="EH1707" s="1"/>
      <c r="EI1707" s="1"/>
      <c r="EJ1707" s="1"/>
      <c r="EK1707" s="1"/>
      <c r="EL1707" s="1"/>
      <c r="EM1707" s="1"/>
      <c r="EN1707" s="1"/>
      <c r="EO1707" s="1"/>
      <c r="EP1707" s="1"/>
      <c r="EQ1707" s="1"/>
      <c r="ER1707" s="1"/>
      <c r="ES1707" s="1"/>
      <c r="ET1707" s="1"/>
      <c r="EU1707" s="1"/>
      <c r="EV1707" s="1"/>
      <c r="EW1707" s="1"/>
      <c r="EX1707" s="1"/>
      <c r="EY1707" s="1"/>
      <c r="EZ1707" s="1"/>
      <c r="FA1707" s="1"/>
      <c r="FB1707" s="1"/>
      <c r="FC1707" s="1"/>
      <c r="FD1707" s="1"/>
      <c r="FE1707" s="1"/>
      <c r="FF1707" s="1"/>
      <c r="FG1707" s="1"/>
      <c r="FH1707" s="1"/>
      <c r="FI1707" s="1"/>
      <c r="FJ1707" s="1"/>
      <c r="FK1707" s="1"/>
      <c r="FL1707" s="1"/>
      <c r="FM1707" s="1"/>
      <c r="FN1707" s="1"/>
      <c r="FO1707" s="1"/>
      <c r="FP1707" s="1"/>
      <c r="FQ1707" s="1"/>
      <c r="FR1707" s="1"/>
      <c r="FS1707" s="1"/>
      <c r="FT1707" s="1"/>
      <c r="FU1707" s="1"/>
      <c r="FV1707" s="1"/>
      <c r="FW1707" s="1"/>
      <c r="FX1707" s="1"/>
      <c r="FY1707" s="1"/>
      <c r="FZ1707" s="1"/>
      <c r="GA1707" s="1"/>
      <c r="GB1707" s="1"/>
      <c r="GC1707" s="1"/>
      <c r="GD1707" s="1"/>
      <c r="GE1707" s="1"/>
      <c r="GF1707" s="1"/>
      <c r="GG1707" s="1"/>
      <c r="GH1707" s="1"/>
      <c r="GI1707" s="1"/>
      <c r="GJ1707" s="1"/>
      <c r="GK1707" s="1"/>
      <c r="GL1707" s="1"/>
      <c r="GM1707" s="1"/>
      <c r="GN1707" s="1"/>
      <c r="GO1707" s="1"/>
      <c r="GP1707" s="1"/>
      <c r="GQ1707" s="1"/>
      <c r="GR1707" s="1"/>
      <c r="GS1707" s="1"/>
      <c r="GT1707" s="1"/>
      <c r="GU1707" s="1"/>
      <c r="GV1707" s="1"/>
      <c r="GW1707" s="1"/>
      <c r="GX1707" s="1"/>
      <c r="GY1707" s="1"/>
      <c r="GZ1707" s="1"/>
      <c r="HA1707" s="1"/>
      <c r="HB1707" s="1"/>
      <c r="HC1707" s="1"/>
      <c r="HD1707" s="1"/>
      <c r="HE1707" s="1"/>
      <c r="HF1707" s="1"/>
      <c r="HG1707" s="1"/>
      <c r="HH1707" s="1"/>
    </row>
    <row r="1708" spans="1:216" x14ac:dyDescent="0.3">
      <c r="A1708" s="3"/>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c r="EF1708" s="1"/>
      <c r="EG1708" s="1"/>
      <c r="EH1708" s="1"/>
      <c r="EI1708" s="1"/>
      <c r="EJ1708" s="1"/>
      <c r="EK1708" s="1"/>
      <c r="EL1708" s="1"/>
      <c r="EM1708" s="1"/>
      <c r="EN1708" s="1"/>
      <c r="EO1708" s="1"/>
      <c r="EP1708" s="1"/>
      <c r="EQ1708" s="1"/>
      <c r="ER1708" s="1"/>
      <c r="ES1708" s="1"/>
      <c r="ET1708" s="1"/>
      <c r="EU1708" s="1"/>
      <c r="EV1708" s="1"/>
      <c r="EW1708" s="1"/>
      <c r="EX1708" s="1"/>
      <c r="EY1708" s="1"/>
      <c r="EZ1708" s="1"/>
      <c r="FA1708" s="1"/>
      <c r="FB1708" s="1"/>
      <c r="FC1708" s="1"/>
      <c r="FD1708" s="1"/>
      <c r="FE1708" s="1"/>
      <c r="FF1708" s="1"/>
      <c r="FG1708" s="1"/>
      <c r="FH1708" s="1"/>
      <c r="FI1708" s="1"/>
      <c r="FJ1708" s="1"/>
      <c r="FK1708" s="1"/>
      <c r="FL1708" s="1"/>
      <c r="FM1708" s="1"/>
      <c r="FN1708" s="1"/>
      <c r="FO1708" s="1"/>
      <c r="FP1708" s="1"/>
      <c r="FQ1708" s="1"/>
      <c r="FR1708" s="1"/>
      <c r="FS1708" s="1"/>
      <c r="FT1708" s="1"/>
      <c r="FU1708" s="1"/>
      <c r="FV1708" s="1"/>
      <c r="FW1708" s="1"/>
      <c r="FX1708" s="1"/>
      <c r="FY1708" s="1"/>
      <c r="FZ1708" s="1"/>
      <c r="GA1708" s="1"/>
      <c r="GB1708" s="1"/>
      <c r="GC1708" s="1"/>
      <c r="GD1708" s="1"/>
      <c r="GE1708" s="1"/>
      <c r="GF1708" s="1"/>
      <c r="GG1708" s="1"/>
      <c r="GH1708" s="1"/>
      <c r="GI1708" s="1"/>
      <c r="GJ1708" s="1"/>
      <c r="GK1708" s="1"/>
      <c r="GL1708" s="1"/>
      <c r="GM1708" s="1"/>
      <c r="GN1708" s="1"/>
      <c r="GO1708" s="1"/>
      <c r="GP1708" s="1"/>
      <c r="GQ1708" s="1"/>
      <c r="GR1708" s="1"/>
      <c r="GS1708" s="1"/>
      <c r="GT1708" s="1"/>
      <c r="GU1708" s="1"/>
      <c r="GV1708" s="1"/>
      <c r="GW1708" s="1"/>
      <c r="GX1708" s="1"/>
      <c r="GY1708" s="1"/>
      <c r="GZ1708" s="1"/>
      <c r="HA1708" s="1"/>
      <c r="HB1708" s="1"/>
      <c r="HC1708" s="1"/>
      <c r="HD1708" s="1"/>
      <c r="HE1708" s="1"/>
      <c r="HF1708" s="1"/>
      <c r="HG1708" s="1"/>
      <c r="HH1708" s="1"/>
    </row>
    <row r="1709" spans="1:216" x14ac:dyDescent="0.3">
      <c r="A1709" s="3"/>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c r="EF1709" s="1"/>
      <c r="EG1709" s="1"/>
      <c r="EH1709" s="1"/>
      <c r="EI1709" s="1"/>
      <c r="EJ1709" s="1"/>
      <c r="EK1709" s="1"/>
      <c r="EL1709" s="1"/>
      <c r="EM1709" s="1"/>
      <c r="EN1709" s="1"/>
      <c r="EO1709" s="1"/>
      <c r="EP1709" s="1"/>
      <c r="EQ1709" s="1"/>
      <c r="ER1709" s="1"/>
      <c r="ES1709" s="1"/>
      <c r="ET1709" s="1"/>
      <c r="EU1709" s="1"/>
      <c r="EV1709" s="1"/>
      <c r="EW1709" s="1"/>
      <c r="EX1709" s="1"/>
      <c r="EY1709" s="1"/>
      <c r="EZ1709" s="1"/>
      <c r="FA1709" s="1"/>
      <c r="FB1709" s="1"/>
      <c r="FC1709" s="1"/>
      <c r="FD1709" s="1"/>
      <c r="FE1709" s="1"/>
      <c r="FF1709" s="1"/>
      <c r="FG1709" s="1"/>
      <c r="FH1709" s="1"/>
      <c r="FI1709" s="1"/>
      <c r="FJ1709" s="1"/>
      <c r="FK1709" s="1"/>
      <c r="FL1709" s="1"/>
      <c r="FM1709" s="1"/>
      <c r="FN1709" s="1"/>
      <c r="FO1709" s="1"/>
      <c r="FP1709" s="1"/>
      <c r="FQ1709" s="1"/>
      <c r="FR1709" s="1"/>
      <c r="FS1709" s="1"/>
      <c r="FT1709" s="1"/>
      <c r="FU1709" s="1"/>
      <c r="FV1709" s="1"/>
      <c r="FW1709" s="1"/>
      <c r="FX1709" s="1"/>
      <c r="FY1709" s="1"/>
      <c r="FZ1709" s="1"/>
      <c r="GA1709" s="1"/>
      <c r="GB1709" s="1"/>
      <c r="GC1709" s="1"/>
      <c r="GD1709" s="1"/>
      <c r="GE1709" s="1"/>
      <c r="GF1709" s="1"/>
      <c r="GG1709" s="1"/>
      <c r="GH1709" s="1"/>
      <c r="GI1709" s="1"/>
      <c r="GJ1709" s="1"/>
      <c r="GK1709" s="1"/>
      <c r="GL1709" s="1"/>
      <c r="GM1709" s="1"/>
      <c r="GN1709" s="1"/>
      <c r="GO1709" s="1"/>
      <c r="GP1709" s="1"/>
      <c r="GQ1709" s="1"/>
      <c r="GR1709" s="1"/>
      <c r="GS1709" s="1"/>
      <c r="GT1709" s="1"/>
      <c r="GU1709" s="1"/>
      <c r="GV1709" s="1"/>
      <c r="GW1709" s="1"/>
      <c r="GX1709" s="1"/>
      <c r="GY1709" s="1"/>
      <c r="GZ1709" s="1"/>
      <c r="HA1709" s="1"/>
      <c r="HB1709" s="1"/>
      <c r="HC1709" s="1"/>
      <c r="HD1709" s="1"/>
      <c r="HE1709" s="1"/>
      <c r="HF1709" s="1"/>
      <c r="HG1709" s="1"/>
      <c r="HH1709" s="1"/>
    </row>
    <row r="1710" spans="1:216" x14ac:dyDescent="0.3">
      <c r="A1710" s="3"/>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c r="EF1710" s="1"/>
      <c r="EG1710" s="1"/>
      <c r="EH1710" s="1"/>
      <c r="EI1710" s="1"/>
      <c r="EJ1710" s="1"/>
      <c r="EK1710" s="1"/>
      <c r="EL1710" s="1"/>
      <c r="EM1710" s="1"/>
      <c r="EN1710" s="1"/>
      <c r="EO1710" s="1"/>
      <c r="EP1710" s="1"/>
      <c r="EQ1710" s="1"/>
      <c r="ER1710" s="1"/>
      <c r="ES1710" s="1"/>
      <c r="ET1710" s="1"/>
      <c r="EU1710" s="1"/>
      <c r="EV1710" s="1"/>
      <c r="EW1710" s="1"/>
      <c r="EX1710" s="1"/>
      <c r="EY1710" s="1"/>
      <c r="EZ1710" s="1"/>
      <c r="FA1710" s="1"/>
      <c r="FB1710" s="1"/>
      <c r="FC1710" s="1"/>
      <c r="FD1710" s="1"/>
      <c r="FE1710" s="1"/>
      <c r="FF1710" s="1"/>
      <c r="FG1710" s="1"/>
      <c r="FH1710" s="1"/>
      <c r="FI1710" s="1"/>
      <c r="FJ1710" s="1"/>
      <c r="FK1710" s="1"/>
      <c r="FL1710" s="1"/>
      <c r="FM1710" s="1"/>
      <c r="FN1710" s="1"/>
      <c r="FO1710" s="1"/>
      <c r="FP1710" s="1"/>
      <c r="FQ1710" s="1"/>
      <c r="FR1710" s="1"/>
      <c r="FS1710" s="1"/>
      <c r="FT1710" s="1"/>
      <c r="FU1710" s="1"/>
      <c r="FV1710" s="1"/>
      <c r="FW1710" s="1"/>
      <c r="FX1710" s="1"/>
      <c r="FY1710" s="1"/>
      <c r="FZ1710" s="1"/>
      <c r="GA1710" s="1"/>
      <c r="GB1710" s="1"/>
      <c r="GC1710" s="1"/>
      <c r="GD1710" s="1"/>
      <c r="GE1710" s="1"/>
      <c r="GF1710" s="1"/>
      <c r="GG1710" s="1"/>
      <c r="GH1710" s="1"/>
      <c r="GI1710" s="1"/>
      <c r="GJ1710" s="1"/>
      <c r="GK1710" s="1"/>
      <c r="GL1710" s="1"/>
      <c r="GM1710" s="1"/>
      <c r="GN1710" s="1"/>
      <c r="GO1710" s="1"/>
      <c r="GP1710" s="1"/>
      <c r="GQ1710" s="1"/>
      <c r="GR1710" s="1"/>
      <c r="GS1710" s="1"/>
      <c r="GT1710" s="1"/>
      <c r="GU1710" s="1"/>
      <c r="GV1710" s="1"/>
      <c r="GW1710" s="1"/>
      <c r="GX1710" s="1"/>
      <c r="GY1710" s="1"/>
      <c r="GZ1710" s="1"/>
      <c r="HA1710" s="1"/>
      <c r="HB1710" s="1"/>
      <c r="HC1710" s="1"/>
      <c r="HD1710" s="1"/>
      <c r="HE1710" s="1"/>
      <c r="HF1710" s="1"/>
      <c r="HG1710" s="1"/>
      <c r="HH1710" s="1"/>
    </row>
    <row r="1711" spans="1:216" x14ac:dyDescent="0.3">
      <c r="A1711" s="3"/>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c r="EF1711" s="1"/>
      <c r="EG1711" s="1"/>
      <c r="EH1711" s="1"/>
      <c r="EI1711" s="1"/>
      <c r="EJ1711" s="1"/>
      <c r="EK1711" s="1"/>
      <c r="EL1711" s="1"/>
      <c r="EM1711" s="1"/>
      <c r="EN1711" s="1"/>
      <c r="EO1711" s="1"/>
      <c r="EP1711" s="1"/>
      <c r="EQ1711" s="1"/>
      <c r="ER1711" s="1"/>
      <c r="ES1711" s="1"/>
      <c r="ET1711" s="1"/>
      <c r="EU1711" s="1"/>
      <c r="EV1711" s="1"/>
      <c r="EW1711" s="1"/>
      <c r="EX1711" s="1"/>
      <c r="EY1711" s="1"/>
      <c r="EZ1711" s="1"/>
      <c r="FA1711" s="1"/>
      <c r="FB1711" s="1"/>
      <c r="FC1711" s="1"/>
      <c r="FD1711" s="1"/>
      <c r="FE1711" s="1"/>
      <c r="FF1711" s="1"/>
      <c r="FG1711" s="1"/>
      <c r="FH1711" s="1"/>
      <c r="FI1711" s="1"/>
      <c r="FJ1711" s="1"/>
      <c r="FK1711" s="1"/>
      <c r="FL1711" s="1"/>
      <c r="FM1711" s="1"/>
      <c r="FN1711" s="1"/>
      <c r="FO1711" s="1"/>
      <c r="FP1711" s="1"/>
      <c r="FQ1711" s="1"/>
      <c r="FR1711" s="1"/>
      <c r="FS1711" s="1"/>
      <c r="FT1711" s="1"/>
      <c r="FU1711" s="1"/>
      <c r="FV1711" s="1"/>
      <c r="FW1711" s="1"/>
      <c r="FX1711" s="1"/>
      <c r="FY1711" s="1"/>
      <c r="FZ1711" s="1"/>
      <c r="GA1711" s="1"/>
      <c r="GB1711" s="1"/>
      <c r="GC1711" s="1"/>
      <c r="GD1711" s="1"/>
      <c r="GE1711" s="1"/>
      <c r="GF1711" s="1"/>
      <c r="GG1711" s="1"/>
      <c r="GH1711" s="1"/>
      <c r="GI1711" s="1"/>
      <c r="GJ1711" s="1"/>
      <c r="GK1711" s="1"/>
      <c r="GL1711" s="1"/>
      <c r="GM1711" s="1"/>
      <c r="GN1711" s="1"/>
      <c r="GO1711" s="1"/>
      <c r="GP1711" s="1"/>
      <c r="GQ1711" s="1"/>
      <c r="GR1711" s="1"/>
      <c r="GS1711" s="1"/>
      <c r="GT1711" s="1"/>
      <c r="GU1711" s="1"/>
      <c r="GV1711" s="1"/>
      <c r="GW1711" s="1"/>
      <c r="GX1711" s="1"/>
      <c r="GY1711" s="1"/>
      <c r="GZ1711" s="1"/>
      <c r="HA1711" s="1"/>
      <c r="HB1711" s="1"/>
      <c r="HC1711" s="1"/>
      <c r="HD1711" s="1"/>
      <c r="HE1711" s="1"/>
      <c r="HF1711" s="1"/>
      <c r="HG1711" s="1"/>
      <c r="HH1711" s="1"/>
    </row>
    <row r="1712" spans="1:216" x14ac:dyDescent="0.3">
      <c r="A1712" s="3"/>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c r="EF1712" s="1"/>
      <c r="EG1712" s="1"/>
      <c r="EH1712" s="1"/>
      <c r="EI1712" s="1"/>
      <c r="EJ1712" s="1"/>
      <c r="EK1712" s="1"/>
      <c r="EL1712" s="1"/>
      <c r="EM1712" s="1"/>
      <c r="EN1712" s="1"/>
      <c r="EO1712" s="1"/>
      <c r="EP1712" s="1"/>
      <c r="EQ1712" s="1"/>
      <c r="ER1712" s="1"/>
      <c r="ES1712" s="1"/>
      <c r="ET1712" s="1"/>
      <c r="EU1712" s="1"/>
      <c r="EV1712" s="1"/>
      <c r="EW1712" s="1"/>
      <c r="EX1712" s="1"/>
      <c r="EY1712" s="1"/>
      <c r="EZ1712" s="1"/>
      <c r="FA1712" s="1"/>
      <c r="FB1712" s="1"/>
      <c r="FC1712" s="1"/>
      <c r="FD1712" s="1"/>
      <c r="FE1712" s="1"/>
      <c r="FF1712" s="1"/>
      <c r="FG1712" s="1"/>
      <c r="FH1712" s="1"/>
      <c r="FI1712" s="1"/>
      <c r="FJ1712" s="1"/>
      <c r="FK1712" s="1"/>
      <c r="FL1712" s="1"/>
      <c r="FM1712" s="1"/>
      <c r="FN1712" s="1"/>
      <c r="FO1712" s="1"/>
      <c r="FP1712" s="1"/>
      <c r="FQ1712" s="1"/>
      <c r="FR1712" s="1"/>
      <c r="FS1712" s="1"/>
      <c r="FT1712" s="1"/>
      <c r="FU1712" s="1"/>
      <c r="FV1712" s="1"/>
      <c r="FW1712" s="1"/>
      <c r="FX1712" s="1"/>
      <c r="FY1712" s="1"/>
      <c r="FZ1712" s="1"/>
      <c r="GA1712" s="1"/>
      <c r="GB1712" s="1"/>
      <c r="GC1712" s="1"/>
      <c r="GD1712" s="1"/>
      <c r="GE1712" s="1"/>
      <c r="GF1712" s="1"/>
      <c r="GG1712" s="1"/>
      <c r="GH1712" s="1"/>
      <c r="GI1712" s="1"/>
      <c r="GJ1712" s="1"/>
      <c r="GK1712" s="1"/>
      <c r="GL1712" s="1"/>
      <c r="GM1712" s="1"/>
      <c r="GN1712" s="1"/>
      <c r="GO1712" s="1"/>
      <c r="GP1712" s="1"/>
      <c r="GQ1712" s="1"/>
      <c r="GR1712" s="1"/>
      <c r="GS1712" s="1"/>
      <c r="GT1712" s="1"/>
      <c r="GU1712" s="1"/>
      <c r="GV1712" s="1"/>
      <c r="GW1712" s="1"/>
      <c r="GX1712" s="1"/>
      <c r="GY1712" s="1"/>
      <c r="GZ1712" s="1"/>
      <c r="HA1712" s="1"/>
      <c r="HB1712" s="1"/>
      <c r="HC1712" s="1"/>
      <c r="HD1712" s="1"/>
      <c r="HE1712" s="1"/>
      <c r="HF1712" s="1"/>
      <c r="HG1712" s="1"/>
      <c r="HH1712" s="1"/>
    </row>
    <row r="1713" spans="1:216" x14ac:dyDescent="0.3">
      <c r="A1713" s="3"/>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c r="EF1713" s="1"/>
      <c r="EG1713" s="1"/>
      <c r="EH1713" s="1"/>
      <c r="EI1713" s="1"/>
      <c r="EJ1713" s="1"/>
      <c r="EK1713" s="1"/>
      <c r="EL1713" s="1"/>
      <c r="EM1713" s="1"/>
      <c r="EN1713" s="1"/>
      <c r="EO1713" s="1"/>
      <c r="EP1713" s="1"/>
      <c r="EQ1713" s="1"/>
      <c r="ER1713" s="1"/>
      <c r="ES1713" s="1"/>
      <c r="ET1713" s="1"/>
      <c r="EU1713" s="1"/>
      <c r="EV1713" s="1"/>
      <c r="EW1713" s="1"/>
      <c r="EX1713" s="1"/>
      <c r="EY1713" s="1"/>
      <c r="EZ1713" s="1"/>
      <c r="FA1713" s="1"/>
      <c r="FB1713" s="1"/>
      <c r="FC1713" s="1"/>
      <c r="FD1713" s="1"/>
      <c r="FE1713" s="1"/>
      <c r="FF1713" s="1"/>
      <c r="FG1713" s="1"/>
      <c r="FH1713" s="1"/>
      <c r="FI1713" s="1"/>
      <c r="FJ1713" s="1"/>
      <c r="FK1713" s="1"/>
      <c r="FL1713" s="1"/>
      <c r="FM1713" s="1"/>
      <c r="FN1713" s="1"/>
      <c r="FO1713" s="1"/>
      <c r="FP1713" s="1"/>
      <c r="FQ1713" s="1"/>
      <c r="FR1713" s="1"/>
      <c r="FS1713" s="1"/>
      <c r="FT1713" s="1"/>
      <c r="FU1713" s="1"/>
      <c r="FV1713" s="1"/>
      <c r="FW1713" s="1"/>
      <c r="FX1713" s="1"/>
      <c r="FY1713" s="1"/>
      <c r="FZ1713" s="1"/>
      <c r="GA1713" s="1"/>
      <c r="GB1713" s="1"/>
      <c r="GC1713" s="1"/>
      <c r="GD1713" s="1"/>
      <c r="GE1713" s="1"/>
      <c r="GF1713" s="1"/>
      <c r="GG1713" s="1"/>
      <c r="GH1713" s="1"/>
      <c r="GI1713" s="1"/>
      <c r="GJ1713" s="1"/>
      <c r="GK1713" s="1"/>
      <c r="GL1713" s="1"/>
      <c r="GM1713" s="1"/>
      <c r="GN1713" s="1"/>
      <c r="GO1713" s="1"/>
      <c r="GP1713" s="1"/>
      <c r="GQ1713" s="1"/>
      <c r="GR1713" s="1"/>
      <c r="GS1713" s="1"/>
      <c r="GT1713" s="1"/>
      <c r="GU1713" s="1"/>
      <c r="GV1713" s="1"/>
      <c r="GW1713" s="1"/>
      <c r="GX1713" s="1"/>
      <c r="GY1713" s="1"/>
      <c r="GZ1713" s="1"/>
      <c r="HA1713" s="1"/>
      <c r="HB1713" s="1"/>
      <c r="HC1713" s="1"/>
      <c r="HD1713" s="1"/>
      <c r="HE1713" s="1"/>
      <c r="HF1713" s="1"/>
      <c r="HG1713" s="1"/>
      <c r="HH1713" s="1"/>
    </row>
    <row r="1714" spans="1:216" x14ac:dyDescent="0.3">
      <c r="A1714" s="3"/>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c r="DK1714" s="1"/>
      <c r="DL1714" s="1"/>
      <c r="DM1714" s="1"/>
      <c r="DN1714" s="1"/>
      <c r="DO1714" s="1"/>
      <c r="DP1714" s="1"/>
      <c r="DQ1714" s="1"/>
      <c r="DR1714" s="1"/>
      <c r="DS1714" s="1"/>
      <c r="DT1714" s="1"/>
      <c r="DU1714" s="1"/>
      <c r="DV1714" s="1"/>
      <c r="DW1714" s="1"/>
      <c r="DX1714" s="1"/>
      <c r="DY1714" s="1"/>
      <c r="DZ1714" s="1"/>
      <c r="EA1714" s="1"/>
      <c r="EB1714" s="1"/>
      <c r="EC1714" s="1"/>
      <c r="ED1714" s="1"/>
      <c r="EE1714" s="1"/>
      <c r="EF1714" s="1"/>
      <c r="EG1714" s="1"/>
      <c r="EH1714" s="1"/>
      <c r="EI1714" s="1"/>
      <c r="EJ1714" s="1"/>
      <c r="EK1714" s="1"/>
      <c r="EL1714" s="1"/>
      <c r="EM1714" s="1"/>
      <c r="EN1714" s="1"/>
      <c r="EO1714" s="1"/>
      <c r="EP1714" s="1"/>
      <c r="EQ1714" s="1"/>
      <c r="ER1714" s="1"/>
      <c r="ES1714" s="1"/>
      <c r="ET1714" s="1"/>
      <c r="EU1714" s="1"/>
      <c r="EV1714" s="1"/>
      <c r="EW1714" s="1"/>
      <c r="EX1714" s="1"/>
      <c r="EY1714" s="1"/>
      <c r="EZ1714" s="1"/>
      <c r="FA1714" s="1"/>
      <c r="FB1714" s="1"/>
      <c r="FC1714" s="1"/>
      <c r="FD1714" s="1"/>
      <c r="FE1714" s="1"/>
      <c r="FF1714" s="1"/>
      <c r="FG1714" s="1"/>
      <c r="FH1714" s="1"/>
      <c r="FI1714" s="1"/>
      <c r="FJ1714" s="1"/>
      <c r="FK1714" s="1"/>
      <c r="FL1714" s="1"/>
      <c r="FM1714" s="1"/>
      <c r="FN1714" s="1"/>
      <c r="FO1714" s="1"/>
      <c r="FP1714" s="1"/>
      <c r="FQ1714" s="1"/>
      <c r="FR1714" s="1"/>
      <c r="FS1714" s="1"/>
      <c r="FT1714" s="1"/>
      <c r="FU1714" s="1"/>
      <c r="FV1714" s="1"/>
      <c r="FW1714" s="1"/>
      <c r="FX1714" s="1"/>
      <c r="FY1714" s="1"/>
      <c r="FZ1714" s="1"/>
      <c r="GA1714" s="1"/>
      <c r="GB1714" s="1"/>
      <c r="GC1714" s="1"/>
      <c r="GD1714" s="1"/>
      <c r="GE1714" s="1"/>
      <c r="GF1714" s="1"/>
      <c r="GG1714" s="1"/>
      <c r="GH1714" s="1"/>
      <c r="GI1714" s="1"/>
      <c r="GJ1714" s="1"/>
      <c r="GK1714" s="1"/>
      <c r="GL1714" s="1"/>
      <c r="GM1714" s="1"/>
      <c r="GN1714" s="1"/>
      <c r="GO1714" s="1"/>
      <c r="GP1714" s="1"/>
      <c r="GQ1714" s="1"/>
      <c r="GR1714" s="1"/>
      <c r="GS1714" s="1"/>
      <c r="GT1714" s="1"/>
      <c r="GU1714" s="1"/>
      <c r="GV1714" s="1"/>
      <c r="GW1714" s="1"/>
      <c r="GX1714" s="1"/>
      <c r="GY1714" s="1"/>
      <c r="GZ1714" s="1"/>
      <c r="HA1714" s="1"/>
      <c r="HB1714" s="1"/>
      <c r="HC1714" s="1"/>
      <c r="HD1714" s="1"/>
      <c r="HE1714" s="1"/>
      <c r="HF1714" s="1"/>
      <c r="HG1714" s="1"/>
      <c r="HH1714" s="1"/>
    </row>
    <row r="1715" spans="1:216" x14ac:dyDescent="0.3">
      <c r="A1715" s="3"/>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c r="EF1715" s="1"/>
      <c r="EG1715" s="1"/>
      <c r="EH1715" s="1"/>
      <c r="EI1715" s="1"/>
      <c r="EJ1715" s="1"/>
      <c r="EK1715" s="1"/>
      <c r="EL1715" s="1"/>
      <c r="EM1715" s="1"/>
      <c r="EN1715" s="1"/>
      <c r="EO1715" s="1"/>
      <c r="EP1715" s="1"/>
      <c r="EQ1715" s="1"/>
      <c r="ER1715" s="1"/>
      <c r="ES1715" s="1"/>
      <c r="ET1715" s="1"/>
      <c r="EU1715" s="1"/>
      <c r="EV1715" s="1"/>
      <c r="EW1715" s="1"/>
      <c r="EX1715" s="1"/>
      <c r="EY1715" s="1"/>
      <c r="EZ1715" s="1"/>
      <c r="FA1715" s="1"/>
      <c r="FB1715" s="1"/>
      <c r="FC1715" s="1"/>
      <c r="FD1715" s="1"/>
      <c r="FE1715" s="1"/>
      <c r="FF1715" s="1"/>
      <c r="FG1715" s="1"/>
      <c r="FH1715" s="1"/>
      <c r="FI1715" s="1"/>
      <c r="FJ1715" s="1"/>
      <c r="FK1715" s="1"/>
      <c r="FL1715" s="1"/>
      <c r="FM1715" s="1"/>
      <c r="FN1715" s="1"/>
      <c r="FO1715" s="1"/>
      <c r="FP1715" s="1"/>
      <c r="FQ1715" s="1"/>
      <c r="FR1715" s="1"/>
      <c r="FS1715" s="1"/>
      <c r="FT1715" s="1"/>
      <c r="FU1715" s="1"/>
      <c r="FV1715" s="1"/>
      <c r="FW1715" s="1"/>
      <c r="FX1715" s="1"/>
      <c r="FY1715" s="1"/>
      <c r="FZ1715" s="1"/>
      <c r="GA1715" s="1"/>
      <c r="GB1715" s="1"/>
      <c r="GC1715" s="1"/>
      <c r="GD1715" s="1"/>
      <c r="GE1715" s="1"/>
      <c r="GF1715" s="1"/>
      <c r="GG1715" s="1"/>
      <c r="GH1715" s="1"/>
      <c r="GI1715" s="1"/>
      <c r="GJ1715" s="1"/>
      <c r="GK1715" s="1"/>
      <c r="GL1715" s="1"/>
      <c r="GM1715" s="1"/>
      <c r="GN1715" s="1"/>
      <c r="GO1715" s="1"/>
      <c r="GP1715" s="1"/>
      <c r="GQ1715" s="1"/>
      <c r="GR1715" s="1"/>
      <c r="GS1715" s="1"/>
      <c r="GT1715" s="1"/>
      <c r="GU1715" s="1"/>
      <c r="GV1715" s="1"/>
      <c r="GW1715" s="1"/>
      <c r="GX1715" s="1"/>
      <c r="GY1715" s="1"/>
      <c r="GZ1715" s="1"/>
      <c r="HA1715" s="1"/>
      <c r="HB1715" s="1"/>
      <c r="HC1715" s="1"/>
      <c r="HD1715" s="1"/>
      <c r="HE1715" s="1"/>
      <c r="HF1715" s="1"/>
      <c r="HG1715" s="1"/>
      <c r="HH1715" s="1"/>
    </row>
    <row r="1716" spans="1:216" x14ac:dyDescent="0.3">
      <c r="A1716" s="3"/>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c r="EF1716" s="1"/>
      <c r="EG1716" s="1"/>
      <c r="EH1716" s="1"/>
      <c r="EI1716" s="1"/>
      <c r="EJ1716" s="1"/>
      <c r="EK1716" s="1"/>
      <c r="EL1716" s="1"/>
      <c r="EM1716" s="1"/>
      <c r="EN1716" s="1"/>
      <c r="EO1716" s="1"/>
      <c r="EP1716" s="1"/>
      <c r="EQ1716" s="1"/>
      <c r="ER1716" s="1"/>
      <c r="ES1716" s="1"/>
      <c r="ET1716" s="1"/>
      <c r="EU1716" s="1"/>
      <c r="EV1716" s="1"/>
      <c r="EW1716" s="1"/>
      <c r="EX1716" s="1"/>
      <c r="EY1716" s="1"/>
      <c r="EZ1716" s="1"/>
      <c r="FA1716" s="1"/>
      <c r="FB1716" s="1"/>
      <c r="FC1716" s="1"/>
      <c r="FD1716" s="1"/>
      <c r="FE1716" s="1"/>
      <c r="FF1716" s="1"/>
      <c r="FG1716" s="1"/>
      <c r="FH1716" s="1"/>
      <c r="FI1716" s="1"/>
      <c r="FJ1716" s="1"/>
      <c r="FK1716" s="1"/>
      <c r="FL1716" s="1"/>
      <c r="FM1716" s="1"/>
      <c r="FN1716" s="1"/>
      <c r="FO1716" s="1"/>
      <c r="FP1716" s="1"/>
      <c r="FQ1716" s="1"/>
      <c r="FR1716" s="1"/>
      <c r="FS1716" s="1"/>
      <c r="FT1716" s="1"/>
      <c r="FU1716" s="1"/>
      <c r="FV1716" s="1"/>
      <c r="FW1716" s="1"/>
      <c r="FX1716" s="1"/>
      <c r="FY1716" s="1"/>
      <c r="FZ1716" s="1"/>
      <c r="GA1716" s="1"/>
      <c r="GB1716" s="1"/>
      <c r="GC1716" s="1"/>
      <c r="GD1716" s="1"/>
      <c r="GE1716" s="1"/>
      <c r="GF1716" s="1"/>
      <c r="GG1716" s="1"/>
      <c r="GH1716" s="1"/>
      <c r="GI1716" s="1"/>
      <c r="GJ1716" s="1"/>
      <c r="GK1716" s="1"/>
      <c r="GL1716" s="1"/>
      <c r="GM1716" s="1"/>
      <c r="GN1716" s="1"/>
      <c r="GO1716" s="1"/>
      <c r="GP1716" s="1"/>
      <c r="GQ1716" s="1"/>
      <c r="GR1716" s="1"/>
      <c r="GS1716" s="1"/>
      <c r="GT1716" s="1"/>
      <c r="GU1716" s="1"/>
      <c r="GV1716" s="1"/>
      <c r="GW1716" s="1"/>
      <c r="GX1716" s="1"/>
      <c r="GY1716" s="1"/>
      <c r="GZ1716" s="1"/>
      <c r="HA1716" s="1"/>
      <c r="HB1716" s="1"/>
      <c r="HC1716" s="1"/>
      <c r="HD1716" s="1"/>
      <c r="HE1716" s="1"/>
      <c r="HF1716" s="1"/>
      <c r="HG1716" s="1"/>
      <c r="HH1716" s="1"/>
    </row>
    <row r="1717" spans="1:216" x14ac:dyDescent="0.3">
      <c r="A1717" s="3"/>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c r="EF1717" s="1"/>
      <c r="EG1717" s="1"/>
      <c r="EH1717" s="1"/>
      <c r="EI1717" s="1"/>
      <c r="EJ1717" s="1"/>
      <c r="EK1717" s="1"/>
      <c r="EL1717" s="1"/>
      <c r="EM1717" s="1"/>
      <c r="EN1717" s="1"/>
      <c r="EO1717" s="1"/>
      <c r="EP1717" s="1"/>
      <c r="EQ1717" s="1"/>
      <c r="ER1717" s="1"/>
      <c r="ES1717" s="1"/>
      <c r="ET1717" s="1"/>
      <c r="EU1717" s="1"/>
      <c r="EV1717" s="1"/>
      <c r="EW1717" s="1"/>
      <c r="EX1717" s="1"/>
      <c r="EY1717" s="1"/>
      <c r="EZ1717" s="1"/>
      <c r="FA1717" s="1"/>
      <c r="FB1717" s="1"/>
      <c r="FC1717" s="1"/>
      <c r="FD1717" s="1"/>
      <c r="FE1717" s="1"/>
      <c r="FF1717" s="1"/>
      <c r="FG1717" s="1"/>
      <c r="FH1717" s="1"/>
      <c r="FI1717" s="1"/>
      <c r="FJ1717" s="1"/>
      <c r="FK1717" s="1"/>
      <c r="FL1717" s="1"/>
      <c r="FM1717" s="1"/>
      <c r="FN1717" s="1"/>
      <c r="FO1717" s="1"/>
      <c r="FP1717" s="1"/>
      <c r="FQ1717" s="1"/>
      <c r="FR1717" s="1"/>
      <c r="FS1717" s="1"/>
      <c r="FT1717" s="1"/>
      <c r="FU1717" s="1"/>
      <c r="FV1717" s="1"/>
      <c r="FW1717" s="1"/>
      <c r="FX1717" s="1"/>
      <c r="FY1717" s="1"/>
      <c r="FZ1717" s="1"/>
      <c r="GA1717" s="1"/>
      <c r="GB1717" s="1"/>
      <c r="GC1717" s="1"/>
      <c r="GD1717" s="1"/>
      <c r="GE1717" s="1"/>
      <c r="GF1717" s="1"/>
      <c r="GG1717" s="1"/>
      <c r="GH1717" s="1"/>
      <c r="GI1717" s="1"/>
      <c r="GJ1717" s="1"/>
      <c r="GK1717" s="1"/>
      <c r="GL1717" s="1"/>
      <c r="GM1717" s="1"/>
      <c r="GN1717" s="1"/>
      <c r="GO1717" s="1"/>
      <c r="GP1717" s="1"/>
      <c r="GQ1717" s="1"/>
      <c r="GR1717" s="1"/>
      <c r="GS1717" s="1"/>
      <c r="GT1717" s="1"/>
      <c r="GU1717" s="1"/>
      <c r="GV1717" s="1"/>
      <c r="GW1717" s="1"/>
      <c r="GX1717" s="1"/>
      <c r="GY1717" s="1"/>
      <c r="GZ1717" s="1"/>
      <c r="HA1717" s="1"/>
      <c r="HB1717" s="1"/>
      <c r="HC1717" s="1"/>
      <c r="HD1717" s="1"/>
      <c r="HE1717" s="1"/>
      <c r="HF1717" s="1"/>
      <c r="HG1717" s="1"/>
      <c r="HH1717" s="1"/>
    </row>
    <row r="1718" spans="1:216" x14ac:dyDescent="0.3">
      <c r="A1718" s="3"/>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c r="EF1718" s="1"/>
      <c r="EG1718" s="1"/>
      <c r="EH1718" s="1"/>
      <c r="EI1718" s="1"/>
      <c r="EJ1718" s="1"/>
      <c r="EK1718" s="1"/>
      <c r="EL1718" s="1"/>
      <c r="EM1718" s="1"/>
      <c r="EN1718" s="1"/>
      <c r="EO1718" s="1"/>
      <c r="EP1718" s="1"/>
      <c r="EQ1718" s="1"/>
      <c r="ER1718" s="1"/>
      <c r="ES1718" s="1"/>
      <c r="ET1718" s="1"/>
      <c r="EU1718" s="1"/>
      <c r="EV1718" s="1"/>
      <c r="EW1718" s="1"/>
      <c r="EX1718" s="1"/>
      <c r="EY1718" s="1"/>
      <c r="EZ1718" s="1"/>
      <c r="FA1718" s="1"/>
      <c r="FB1718" s="1"/>
      <c r="FC1718" s="1"/>
      <c r="FD1718" s="1"/>
      <c r="FE1718" s="1"/>
      <c r="FF1718" s="1"/>
      <c r="FG1718" s="1"/>
      <c r="FH1718" s="1"/>
      <c r="FI1718" s="1"/>
      <c r="FJ1718" s="1"/>
      <c r="FK1718" s="1"/>
      <c r="FL1718" s="1"/>
      <c r="FM1718" s="1"/>
      <c r="FN1718" s="1"/>
      <c r="FO1718" s="1"/>
      <c r="FP1718" s="1"/>
      <c r="FQ1718" s="1"/>
      <c r="FR1718" s="1"/>
      <c r="FS1718" s="1"/>
      <c r="FT1718" s="1"/>
      <c r="FU1718" s="1"/>
      <c r="FV1718" s="1"/>
      <c r="FW1718" s="1"/>
      <c r="FX1718" s="1"/>
      <c r="FY1718" s="1"/>
      <c r="FZ1718" s="1"/>
      <c r="GA1718" s="1"/>
      <c r="GB1718" s="1"/>
      <c r="GC1718" s="1"/>
      <c r="GD1718" s="1"/>
      <c r="GE1718" s="1"/>
      <c r="GF1718" s="1"/>
      <c r="GG1718" s="1"/>
      <c r="GH1718" s="1"/>
      <c r="GI1718" s="1"/>
      <c r="GJ1718" s="1"/>
      <c r="GK1718" s="1"/>
      <c r="GL1718" s="1"/>
      <c r="GM1718" s="1"/>
      <c r="GN1718" s="1"/>
      <c r="GO1718" s="1"/>
      <c r="GP1718" s="1"/>
      <c r="GQ1718" s="1"/>
      <c r="GR1718" s="1"/>
      <c r="GS1718" s="1"/>
      <c r="GT1718" s="1"/>
      <c r="GU1718" s="1"/>
      <c r="GV1718" s="1"/>
      <c r="GW1718" s="1"/>
      <c r="GX1718" s="1"/>
      <c r="GY1718" s="1"/>
      <c r="GZ1718" s="1"/>
      <c r="HA1718" s="1"/>
      <c r="HB1718" s="1"/>
      <c r="HC1718" s="1"/>
      <c r="HD1718" s="1"/>
      <c r="HE1718" s="1"/>
      <c r="HF1718" s="1"/>
      <c r="HG1718" s="1"/>
      <c r="HH1718" s="1"/>
    </row>
    <row r="1719" spans="1:216" x14ac:dyDescent="0.3">
      <c r="A1719" s="3"/>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c r="EF1719" s="1"/>
      <c r="EG1719" s="1"/>
      <c r="EH1719" s="1"/>
      <c r="EI1719" s="1"/>
      <c r="EJ1719" s="1"/>
      <c r="EK1719" s="1"/>
      <c r="EL1719" s="1"/>
      <c r="EM1719" s="1"/>
      <c r="EN1719" s="1"/>
      <c r="EO1719" s="1"/>
      <c r="EP1719" s="1"/>
      <c r="EQ1719" s="1"/>
      <c r="ER1719" s="1"/>
      <c r="ES1719" s="1"/>
      <c r="ET1719" s="1"/>
      <c r="EU1719" s="1"/>
      <c r="EV1719" s="1"/>
      <c r="EW1719" s="1"/>
      <c r="EX1719" s="1"/>
      <c r="EY1719" s="1"/>
      <c r="EZ1719" s="1"/>
      <c r="FA1719" s="1"/>
      <c r="FB1719" s="1"/>
      <c r="FC1719" s="1"/>
      <c r="FD1719" s="1"/>
      <c r="FE1719" s="1"/>
      <c r="FF1719" s="1"/>
      <c r="FG1719" s="1"/>
      <c r="FH1719" s="1"/>
      <c r="FI1719" s="1"/>
      <c r="FJ1719" s="1"/>
      <c r="FK1719" s="1"/>
      <c r="FL1719" s="1"/>
      <c r="FM1719" s="1"/>
      <c r="FN1719" s="1"/>
      <c r="FO1719" s="1"/>
      <c r="FP1719" s="1"/>
      <c r="FQ1719" s="1"/>
      <c r="FR1719" s="1"/>
      <c r="FS1719" s="1"/>
      <c r="FT1719" s="1"/>
      <c r="FU1719" s="1"/>
      <c r="FV1719" s="1"/>
      <c r="FW1719" s="1"/>
      <c r="FX1719" s="1"/>
      <c r="FY1719" s="1"/>
      <c r="FZ1719" s="1"/>
      <c r="GA1719" s="1"/>
      <c r="GB1719" s="1"/>
      <c r="GC1719" s="1"/>
      <c r="GD1719" s="1"/>
      <c r="GE1719" s="1"/>
      <c r="GF1719" s="1"/>
      <c r="GG1719" s="1"/>
      <c r="GH1719" s="1"/>
      <c r="GI1719" s="1"/>
      <c r="GJ1719" s="1"/>
      <c r="GK1719" s="1"/>
      <c r="GL1719" s="1"/>
      <c r="GM1719" s="1"/>
      <c r="GN1719" s="1"/>
      <c r="GO1719" s="1"/>
      <c r="GP1719" s="1"/>
      <c r="GQ1719" s="1"/>
      <c r="GR1719" s="1"/>
      <c r="GS1719" s="1"/>
      <c r="GT1719" s="1"/>
      <c r="GU1719" s="1"/>
      <c r="GV1719" s="1"/>
      <c r="GW1719" s="1"/>
      <c r="GX1719" s="1"/>
      <c r="GY1719" s="1"/>
      <c r="GZ1719" s="1"/>
      <c r="HA1719" s="1"/>
      <c r="HB1719" s="1"/>
      <c r="HC1719" s="1"/>
      <c r="HD1719" s="1"/>
      <c r="HE1719" s="1"/>
      <c r="HF1719" s="1"/>
      <c r="HG1719" s="1"/>
      <c r="HH1719" s="1"/>
    </row>
    <row r="1720" spans="1:216" x14ac:dyDescent="0.3">
      <c r="A1720" s="3"/>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c r="EF1720" s="1"/>
      <c r="EG1720" s="1"/>
      <c r="EH1720" s="1"/>
      <c r="EI1720" s="1"/>
      <c r="EJ1720" s="1"/>
      <c r="EK1720" s="1"/>
      <c r="EL1720" s="1"/>
      <c r="EM1720" s="1"/>
      <c r="EN1720" s="1"/>
      <c r="EO1720" s="1"/>
      <c r="EP1720" s="1"/>
      <c r="EQ1720" s="1"/>
      <c r="ER1720" s="1"/>
      <c r="ES1720" s="1"/>
      <c r="ET1720" s="1"/>
      <c r="EU1720" s="1"/>
      <c r="EV1720" s="1"/>
      <c r="EW1720" s="1"/>
      <c r="EX1720" s="1"/>
      <c r="EY1720" s="1"/>
      <c r="EZ1720" s="1"/>
      <c r="FA1720" s="1"/>
      <c r="FB1720" s="1"/>
      <c r="FC1720" s="1"/>
      <c r="FD1720" s="1"/>
      <c r="FE1720" s="1"/>
      <c r="FF1720" s="1"/>
      <c r="FG1720" s="1"/>
      <c r="FH1720" s="1"/>
      <c r="FI1720" s="1"/>
      <c r="FJ1720" s="1"/>
      <c r="FK1720" s="1"/>
      <c r="FL1720" s="1"/>
      <c r="FM1720" s="1"/>
      <c r="FN1720" s="1"/>
      <c r="FO1720" s="1"/>
      <c r="FP1720" s="1"/>
      <c r="FQ1720" s="1"/>
      <c r="FR1720" s="1"/>
      <c r="FS1720" s="1"/>
      <c r="FT1720" s="1"/>
      <c r="FU1720" s="1"/>
      <c r="FV1720" s="1"/>
      <c r="FW1720" s="1"/>
      <c r="FX1720" s="1"/>
      <c r="FY1720" s="1"/>
      <c r="FZ1720" s="1"/>
      <c r="GA1720" s="1"/>
      <c r="GB1720" s="1"/>
      <c r="GC1720" s="1"/>
      <c r="GD1720" s="1"/>
      <c r="GE1720" s="1"/>
      <c r="GF1720" s="1"/>
      <c r="GG1720" s="1"/>
      <c r="GH1720" s="1"/>
      <c r="GI1720" s="1"/>
      <c r="GJ1720" s="1"/>
      <c r="GK1720" s="1"/>
      <c r="GL1720" s="1"/>
      <c r="GM1720" s="1"/>
      <c r="GN1720" s="1"/>
      <c r="GO1720" s="1"/>
      <c r="GP1720" s="1"/>
      <c r="GQ1720" s="1"/>
      <c r="GR1720" s="1"/>
      <c r="GS1720" s="1"/>
      <c r="GT1720" s="1"/>
      <c r="GU1720" s="1"/>
      <c r="GV1720" s="1"/>
      <c r="GW1720" s="1"/>
      <c r="GX1720" s="1"/>
      <c r="GY1720" s="1"/>
      <c r="GZ1720" s="1"/>
      <c r="HA1720" s="1"/>
      <c r="HB1720" s="1"/>
      <c r="HC1720" s="1"/>
      <c r="HD1720" s="1"/>
      <c r="HE1720" s="1"/>
      <c r="HF1720" s="1"/>
      <c r="HG1720" s="1"/>
      <c r="HH1720" s="1"/>
    </row>
    <row r="1721" spans="1:216" x14ac:dyDescent="0.3">
      <c r="A1721" s="3"/>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
      <c r="DQ1721" s="1"/>
      <c r="DR1721" s="1"/>
      <c r="DS1721" s="1"/>
      <c r="DT1721" s="1"/>
      <c r="DU1721" s="1"/>
      <c r="DV1721" s="1"/>
      <c r="DW1721" s="1"/>
      <c r="DX1721" s="1"/>
      <c r="DY1721" s="1"/>
      <c r="DZ1721" s="1"/>
      <c r="EA1721" s="1"/>
      <c r="EB1721" s="1"/>
      <c r="EC1721" s="1"/>
      <c r="ED1721" s="1"/>
      <c r="EE1721" s="1"/>
      <c r="EF1721" s="1"/>
      <c r="EG1721" s="1"/>
      <c r="EH1721" s="1"/>
      <c r="EI1721" s="1"/>
      <c r="EJ1721" s="1"/>
      <c r="EK1721" s="1"/>
      <c r="EL1721" s="1"/>
      <c r="EM1721" s="1"/>
      <c r="EN1721" s="1"/>
      <c r="EO1721" s="1"/>
      <c r="EP1721" s="1"/>
      <c r="EQ1721" s="1"/>
      <c r="ER1721" s="1"/>
      <c r="ES1721" s="1"/>
      <c r="ET1721" s="1"/>
      <c r="EU1721" s="1"/>
      <c r="EV1721" s="1"/>
      <c r="EW1721" s="1"/>
      <c r="EX1721" s="1"/>
      <c r="EY1721" s="1"/>
      <c r="EZ1721" s="1"/>
      <c r="FA1721" s="1"/>
      <c r="FB1721" s="1"/>
      <c r="FC1721" s="1"/>
      <c r="FD1721" s="1"/>
      <c r="FE1721" s="1"/>
      <c r="FF1721" s="1"/>
      <c r="FG1721" s="1"/>
      <c r="FH1721" s="1"/>
      <c r="FI1721" s="1"/>
      <c r="FJ1721" s="1"/>
      <c r="FK1721" s="1"/>
      <c r="FL1721" s="1"/>
      <c r="FM1721" s="1"/>
      <c r="FN1721" s="1"/>
      <c r="FO1721" s="1"/>
      <c r="FP1721" s="1"/>
      <c r="FQ1721" s="1"/>
      <c r="FR1721" s="1"/>
      <c r="FS1721" s="1"/>
      <c r="FT1721" s="1"/>
      <c r="FU1721" s="1"/>
      <c r="FV1721" s="1"/>
      <c r="FW1721" s="1"/>
      <c r="FX1721" s="1"/>
      <c r="FY1721" s="1"/>
      <c r="FZ1721" s="1"/>
      <c r="GA1721" s="1"/>
      <c r="GB1721" s="1"/>
      <c r="GC1721" s="1"/>
      <c r="GD1721" s="1"/>
      <c r="GE1721" s="1"/>
      <c r="GF1721" s="1"/>
      <c r="GG1721" s="1"/>
      <c r="GH1721" s="1"/>
      <c r="GI1721" s="1"/>
      <c r="GJ1721" s="1"/>
      <c r="GK1721" s="1"/>
      <c r="GL1721" s="1"/>
      <c r="GM1721" s="1"/>
      <c r="GN1721" s="1"/>
      <c r="GO1721" s="1"/>
      <c r="GP1721" s="1"/>
      <c r="GQ1721" s="1"/>
      <c r="GR1721" s="1"/>
      <c r="GS1721" s="1"/>
      <c r="GT1721" s="1"/>
      <c r="GU1721" s="1"/>
      <c r="GV1721" s="1"/>
      <c r="GW1721" s="1"/>
      <c r="GX1721" s="1"/>
      <c r="GY1721" s="1"/>
      <c r="GZ1721" s="1"/>
      <c r="HA1721" s="1"/>
      <c r="HB1721" s="1"/>
      <c r="HC1721" s="1"/>
      <c r="HD1721" s="1"/>
      <c r="HE1721" s="1"/>
      <c r="HF1721" s="1"/>
      <c r="HG1721" s="1"/>
      <c r="HH1721" s="1"/>
    </row>
    <row r="1722" spans="1:216" x14ac:dyDescent="0.3">
      <c r="A1722" s="3"/>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c r="EF1722" s="1"/>
      <c r="EG1722" s="1"/>
      <c r="EH1722" s="1"/>
      <c r="EI1722" s="1"/>
      <c r="EJ1722" s="1"/>
      <c r="EK1722" s="1"/>
      <c r="EL1722" s="1"/>
      <c r="EM1722" s="1"/>
      <c r="EN1722" s="1"/>
      <c r="EO1722" s="1"/>
      <c r="EP1722" s="1"/>
      <c r="EQ1722" s="1"/>
      <c r="ER1722" s="1"/>
      <c r="ES1722" s="1"/>
      <c r="ET1722" s="1"/>
      <c r="EU1722" s="1"/>
      <c r="EV1722" s="1"/>
      <c r="EW1722" s="1"/>
      <c r="EX1722" s="1"/>
      <c r="EY1722" s="1"/>
      <c r="EZ1722" s="1"/>
      <c r="FA1722" s="1"/>
      <c r="FB1722" s="1"/>
      <c r="FC1722" s="1"/>
      <c r="FD1722" s="1"/>
      <c r="FE1722" s="1"/>
      <c r="FF1722" s="1"/>
      <c r="FG1722" s="1"/>
      <c r="FH1722" s="1"/>
      <c r="FI1722" s="1"/>
      <c r="FJ1722" s="1"/>
      <c r="FK1722" s="1"/>
      <c r="FL1722" s="1"/>
      <c r="FM1722" s="1"/>
      <c r="FN1722" s="1"/>
      <c r="FO1722" s="1"/>
      <c r="FP1722" s="1"/>
      <c r="FQ1722" s="1"/>
      <c r="FR1722" s="1"/>
      <c r="FS1722" s="1"/>
      <c r="FT1722" s="1"/>
      <c r="FU1722" s="1"/>
      <c r="FV1722" s="1"/>
      <c r="FW1722" s="1"/>
      <c r="FX1722" s="1"/>
      <c r="FY1722" s="1"/>
      <c r="FZ1722" s="1"/>
      <c r="GA1722" s="1"/>
      <c r="GB1722" s="1"/>
      <c r="GC1722" s="1"/>
      <c r="GD1722" s="1"/>
      <c r="GE1722" s="1"/>
      <c r="GF1722" s="1"/>
      <c r="GG1722" s="1"/>
      <c r="GH1722" s="1"/>
      <c r="GI1722" s="1"/>
      <c r="GJ1722" s="1"/>
      <c r="GK1722" s="1"/>
      <c r="GL1722" s="1"/>
      <c r="GM1722" s="1"/>
      <c r="GN1722" s="1"/>
      <c r="GO1722" s="1"/>
      <c r="GP1722" s="1"/>
      <c r="GQ1722" s="1"/>
      <c r="GR1722" s="1"/>
      <c r="GS1722" s="1"/>
      <c r="GT1722" s="1"/>
      <c r="GU1722" s="1"/>
      <c r="GV1722" s="1"/>
      <c r="GW1722" s="1"/>
      <c r="GX1722" s="1"/>
      <c r="GY1722" s="1"/>
      <c r="GZ1722" s="1"/>
      <c r="HA1722" s="1"/>
      <c r="HB1722" s="1"/>
      <c r="HC1722" s="1"/>
      <c r="HD1722" s="1"/>
      <c r="HE1722" s="1"/>
      <c r="HF1722" s="1"/>
      <c r="HG1722" s="1"/>
      <c r="HH1722" s="1"/>
    </row>
    <row r="1723" spans="1:216" x14ac:dyDescent="0.3">
      <c r="A1723" s="3"/>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c r="EF1723" s="1"/>
      <c r="EG1723" s="1"/>
      <c r="EH1723" s="1"/>
      <c r="EI1723" s="1"/>
      <c r="EJ1723" s="1"/>
      <c r="EK1723" s="1"/>
      <c r="EL1723" s="1"/>
      <c r="EM1723" s="1"/>
      <c r="EN1723" s="1"/>
      <c r="EO1723" s="1"/>
      <c r="EP1723" s="1"/>
      <c r="EQ1723" s="1"/>
      <c r="ER1723" s="1"/>
      <c r="ES1723" s="1"/>
      <c r="ET1723" s="1"/>
      <c r="EU1723" s="1"/>
      <c r="EV1723" s="1"/>
      <c r="EW1723" s="1"/>
      <c r="EX1723" s="1"/>
      <c r="EY1723" s="1"/>
      <c r="EZ1723" s="1"/>
      <c r="FA1723" s="1"/>
      <c r="FB1723" s="1"/>
      <c r="FC1723" s="1"/>
      <c r="FD1723" s="1"/>
      <c r="FE1723" s="1"/>
      <c r="FF1723" s="1"/>
      <c r="FG1723" s="1"/>
      <c r="FH1723" s="1"/>
      <c r="FI1723" s="1"/>
      <c r="FJ1723" s="1"/>
      <c r="FK1723" s="1"/>
      <c r="FL1723" s="1"/>
      <c r="FM1723" s="1"/>
      <c r="FN1723" s="1"/>
      <c r="FO1723" s="1"/>
      <c r="FP1723" s="1"/>
      <c r="FQ1723" s="1"/>
      <c r="FR1723" s="1"/>
      <c r="FS1723" s="1"/>
      <c r="FT1723" s="1"/>
      <c r="FU1723" s="1"/>
      <c r="FV1723" s="1"/>
      <c r="FW1723" s="1"/>
      <c r="FX1723" s="1"/>
      <c r="FY1723" s="1"/>
      <c r="FZ1723" s="1"/>
      <c r="GA1723" s="1"/>
      <c r="GB1723" s="1"/>
      <c r="GC1723" s="1"/>
      <c r="GD1723" s="1"/>
      <c r="GE1723" s="1"/>
      <c r="GF1723" s="1"/>
      <c r="GG1723" s="1"/>
      <c r="GH1723" s="1"/>
      <c r="GI1723" s="1"/>
      <c r="GJ1723" s="1"/>
      <c r="GK1723" s="1"/>
      <c r="GL1723" s="1"/>
      <c r="GM1723" s="1"/>
      <c r="GN1723" s="1"/>
      <c r="GO1723" s="1"/>
      <c r="GP1723" s="1"/>
      <c r="GQ1723" s="1"/>
      <c r="GR1723" s="1"/>
      <c r="GS1723" s="1"/>
      <c r="GT1723" s="1"/>
      <c r="GU1723" s="1"/>
      <c r="GV1723" s="1"/>
      <c r="GW1723" s="1"/>
      <c r="GX1723" s="1"/>
      <c r="GY1723" s="1"/>
      <c r="GZ1723" s="1"/>
      <c r="HA1723" s="1"/>
      <c r="HB1723" s="1"/>
      <c r="HC1723" s="1"/>
      <c r="HD1723" s="1"/>
      <c r="HE1723" s="1"/>
      <c r="HF1723" s="1"/>
      <c r="HG1723" s="1"/>
      <c r="HH1723" s="1"/>
    </row>
    <row r="1724" spans="1:216" x14ac:dyDescent="0.3">
      <c r="A1724" s="3"/>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c r="EF1724" s="1"/>
      <c r="EG1724" s="1"/>
      <c r="EH1724" s="1"/>
      <c r="EI1724" s="1"/>
      <c r="EJ1724" s="1"/>
      <c r="EK1724" s="1"/>
      <c r="EL1724" s="1"/>
      <c r="EM1724" s="1"/>
      <c r="EN1724" s="1"/>
      <c r="EO1724" s="1"/>
      <c r="EP1724" s="1"/>
      <c r="EQ1724" s="1"/>
      <c r="ER1724" s="1"/>
      <c r="ES1724" s="1"/>
      <c r="ET1724" s="1"/>
      <c r="EU1724" s="1"/>
      <c r="EV1724" s="1"/>
      <c r="EW1724" s="1"/>
      <c r="EX1724" s="1"/>
      <c r="EY1724" s="1"/>
      <c r="EZ1724" s="1"/>
      <c r="FA1724" s="1"/>
      <c r="FB1724" s="1"/>
      <c r="FC1724" s="1"/>
      <c r="FD1724" s="1"/>
      <c r="FE1724" s="1"/>
      <c r="FF1724" s="1"/>
      <c r="FG1724" s="1"/>
      <c r="FH1724" s="1"/>
      <c r="FI1724" s="1"/>
      <c r="FJ1724" s="1"/>
      <c r="FK1724" s="1"/>
      <c r="FL1724" s="1"/>
      <c r="FM1724" s="1"/>
      <c r="FN1724" s="1"/>
      <c r="FO1724" s="1"/>
      <c r="FP1724" s="1"/>
      <c r="FQ1724" s="1"/>
      <c r="FR1724" s="1"/>
      <c r="FS1724" s="1"/>
      <c r="FT1724" s="1"/>
      <c r="FU1724" s="1"/>
      <c r="FV1724" s="1"/>
      <c r="FW1724" s="1"/>
      <c r="FX1724" s="1"/>
      <c r="FY1724" s="1"/>
      <c r="FZ1724" s="1"/>
      <c r="GA1724" s="1"/>
      <c r="GB1724" s="1"/>
      <c r="GC1724" s="1"/>
      <c r="GD1724" s="1"/>
      <c r="GE1724" s="1"/>
      <c r="GF1724" s="1"/>
      <c r="GG1724" s="1"/>
      <c r="GH1724" s="1"/>
      <c r="GI1724" s="1"/>
      <c r="GJ1724" s="1"/>
      <c r="GK1724" s="1"/>
      <c r="GL1724" s="1"/>
      <c r="GM1724" s="1"/>
      <c r="GN1724" s="1"/>
      <c r="GO1724" s="1"/>
      <c r="GP1724" s="1"/>
      <c r="GQ1724" s="1"/>
      <c r="GR1724" s="1"/>
      <c r="GS1724" s="1"/>
      <c r="GT1724" s="1"/>
      <c r="GU1724" s="1"/>
      <c r="GV1724" s="1"/>
      <c r="GW1724" s="1"/>
      <c r="GX1724" s="1"/>
      <c r="GY1724" s="1"/>
      <c r="GZ1724" s="1"/>
      <c r="HA1724" s="1"/>
      <c r="HB1724" s="1"/>
      <c r="HC1724" s="1"/>
      <c r="HD1724" s="1"/>
      <c r="HE1724" s="1"/>
      <c r="HF1724" s="1"/>
      <c r="HG1724" s="1"/>
      <c r="HH1724" s="1"/>
    </row>
    <row r="1725" spans="1:216" x14ac:dyDescent="0.3">
      <c r="A1725" s="3"/>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c r="EF1725" s="1"/>
      <c r="EG1725" s="1"/>
      <c r="EH1725" s="1"/>
      <c r="EI1725" s="1"/>
      <c r="EJ1725" s="1"/>
      <c r="EK1725" s="1"/>
      <c r="EL1725" s="1"/>
      <c r="EM1725" s="1"/>
      <c r="EN1725" s="1"/>
      <c r="EO1725" s="1"/>
      <c r="EP1725" s="1"/>
      <c r="EQ1725" s="1"/>
      <c r="ER1725" s="1"/>
      <c r="ES1725" s="1"/>
      <c r="ET1725" s="1"/>
      <c r="EU1725" s="1"/>
      <c r="EV1725" s="1"/>
      <c r="EW1725" s="1"/>
      <c r="EX1725" s="1"/>
      <c r="EY1725" s="1"/>
      <c r="EZ1725" s="1"/>
      <c r="FA1725" s="1"/>
      <c r="FB1725" s="1"/>
      <c r="FC1725" s="1"/>
      <c r="FD1725" s="1"/>
      <c r="FE1725" s="1"/>
      <c r="FF1725" s="1"/>
      <c r="FG1725" s="1"/>
      <c r="FH1725" s="1"/>
      <c r="FI1725" s="1"/>
      <c r="FJ1725" s="1"/>
      <c r="FK1725" s="1"/>
      <c r="FL1725" s="1"/>
      <c r="FM1725" s="1"/>
      <c r="FN1725" s="1"/>
      <c r="FO1725" s="1"/>
      <c r="FP1725" s="1"/>
      <c r="FQ1725" s="1"/>
      <c r="FR1725" s="1"/>
      <c r="FS1725" s="1"/>
      <c r="FT1725" s="1"/>
      <c r="FU1725" s="1"/>
      <c r="FV1725" s="1"/>
      <c r="FW1725" s="1"/>
      <c r="FX1725" s="1"/>
      <c r="FY1725" s="1"/>
      <c r="FZ1725" s="1"/>
      <c r="GA1725" s="1"/>
      <c r="GB1725" s="1"/>
      <c r="GC1725" s="1"/>
      <c r="GD1725" s="1"/>
      <c r="GE1725" s="1"/>
      <c r="GF1725" s="1"/>
      <c r="GG1725" s="1"/>
      <c r="GH1725" s="1"/>
      <c r="GI1725" s="1"/>
      <c r="GJ1725" s="1"/>
      <c r="GK1725" s="1"/>
      <c r="GL1725" s="1"/>
      <c r="GM1725" s="1"/>
      <c r="GN1725" s="1"/>
      <c r="GO1725" s="1"/>
      <c r="GP1725" s="1"/>
      <c r="GQ1725" s="1"/>
      <c r="GR1725" s="1"/>
      <c r="GS1725" s="1"/>
      <c r="GT1725" s="1"/>
      <c r="GU1725" s="1"/>
      <c r="GV1725" s="1"/>
      <c r="GW1725" s="1"/>
      <c r="GX1725" s="1"/>
      <c r="GY1725" s="1"/>
      <c r="GZ1725" s="1"/>
      <c r="HA1725" s="1"/>
      <c r="HB1725" s="1"/>
      <c r="HC1725" s="1"/>
      <c r="HD1725" s="1"/>
      <c r="HE1725" s="1"/>
      <c r="HF1725" s="1"/>
      <c r="HG1725" s="1"/>
      <c r="HH1725" s="1"/>
    </row>
    <row r="1726" spans="1:216" x14ac:dyDescent="0.3">
      <c r="A1726" s="3"/>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c r="EF1726" s="1"/>
      <c r="EG1726" s="1"/>
      <c r="EH1726" s="1"/>
      <c r="EI1726" s="1"/>
      <c r="EJ1726" s="1"/>
      <c r="EK1726" s="1"/>
      <c r="EL1726" s="1"/>
      <c r="EM1726" s="1"/>
      <c r="EN1726" s="1"/>
      <c r="EO1726" s="1"/>
      <c r="EP1726" s="1"/>
      <c r="EQ1726" s="1"/>
      <c r="ER1726" s="1"/>
      <c r="ES1726" s="1"/>
      <c r="ET1726" s="1"/>
      <c r="EU1726" s="1"/>
      <c r="EV1726" s="1"/>
      <c r="EW1726" s="1"/>
      <c r="EX1726" s="1"/>
      <c r="EY1726" s="1"/>
      <c r="EZ1726" s="1"/>
      <c r="FA1726" s="1"/>
      <c r="FB1726" s="1"/>
      <c r="FC1726" s="1"/>
      <c r="FD1726" s="1"/>
      <c r="FE1726" s="1"/>
      <c r="FF1726" s="1"/>
      <c r="FG1726" s="1"/>
      <c r="FH1726" s="1"/>
      <c r="FI1726" s="1"/>
      <c r="FJ1726" s="1"/>
      <c r="FK1726" s="1"/>
      <c r="FL1726" s="1"/>
      <c r="FM1726" s="1"/>
      <c r="FN1726" s="1"/>
      <c r="FO1726" s="1"/>
      <c r="FP1726" s="1"/>
      <c r="FQ1726" s="1"/>
      <c r="FR1726" s="1"/>
      <c r="FS1726" s="1"/>
      <c r="FT1726" s="1"/>
      <c r="FU1726" s="1"/>
      <c r="FV1726" s="1"/>
      <c r="FW1726" s="1"/>
      <c r="FX1726" s="1"/>
      <c r="FY1726" s="1"/>
      <c r="FZ1726" s="1"/>
      <c r="GA1726" s="1"/>
      <c r="GB1726" s="1"/>
      <c r="GC1726" s="1"/>
      <c r="GD1726" s="1"/>
      <c r="GE1726" s="1"/>
      <c r="GF1726" s="1"/>
      <c r="GG1726" s="1"/>
      <c r="GH1726" s="1"/>
      <c r="GI1726" s="1"/>
      <c r="GJ1726" s="1"/>
      <c r="GK1726" s="1"/>
      <c r="GL1726" s="1"/>
      <c r="GM1726" s="1"/>
      <c r="GN1726" s="1"/>
      <c r="GO1726" s="1"/>
      <c r="GP1726" s="1"/>
      <c r="GQ1726" s="1"/>
      <c r="GR1726" s="1"/>
      <c r="GS1726" s="1"/>
      <c r="GT1726" s="1"/>
      <c r="GU1726" s="1"/>
      <c r="GV1726" s="1"/>
      <c r="GW1726" s="1"/>
      <c r="GX1726" s="1"/>
      <c r="GY1726" s="1"/>
      <c r="GZ1726" s="1"/>
      <c r="HA1726" s="1"/>
      <c r="HB1726" s="1"/>
      <c r="HC1726" s="1"/>
      <c r="HD1726" s="1"/>
      <c r="HE1726" s="1"/>
      <c r="HF1726" s="1"/>
      <c r="HG1726" s="1"/>
      <c r="HH1726" s="1"/>
    </row>
    <row r="1727" spans="1:216" x14ac:dyDescent="0.3">
      <c r="A1727" s="3"/>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c r="EF1727" s="1"/>
      <c r="EG1727" s="1"/>
      <c r="EH1727" s="1"/>
      <c r="EI1727" s="1"/>
      <c r="EJ1727" s="1"/>
      <c r="EK1727" s="1"/>
      <c r="EL1727" s="1"/>
      <c r="EM1727" s="1"/>
      <c r="EN1727" s="1"/>
      <c r="EO1727" s="1"/>
      <c r="EP1727" s="1"/>
      <c r="EQ1727" s="1"/>
      <c r="ER1727" s="1"/>
      <c r="ES1727" s="1"/>
      <c r="ET1727" s="1"/>
      <c r="EU1727" s="1"/>
      <c r="EV1727" s="1"/>
      <c r="EW1727" s="1"/>
      <c r="EX1727" s="1"/>
      <c r="EY1727" s="1"/>
      <c r="EZ1727" s="1"/>
      <c r="FA1727" s="1"/>
      <c r="FB1727" s="1"/>
      <c r="FC1727" s="1"/>
      <c r="FD1727" s="1"/>
      <c r="FE1727" s="1"/>
      <c r="FF1727" s="1"/>
      <c r="FG1727" s="1"/>
      <c r="FH1727" s="1"/>
      <c r="FI1727" s="1"/>
      <c r="FJ1727" s="1"/>
      <c r="FK1727" s="1"/>
      <c r="FL1727" s="1"/>
      <c r="FM1727" s="1"/>
      <c r="FN1727" s="1"/>
      <c r="FO1727" s="1"/>
      <c r="FP1727" s="1"/>
      <c r="FQ1727" s="1"/>
      <c r="FR1727" s="1"/>
      <c r="FS1727" s="1"/>
      <c r="FT1727" s="1"/>
      <c r="FU1727" s="1"/>
      <c r="FV1727" s="1"/>
      <c r="FW1727" s="1"/>
      <c r="FX1727" s="1"/>
      <c r="FY1727" s="1"/>
      <c r="FZ1727" s="1"/>
      <c r="GA1727" s="1"/>
      <c r="GB1727" s="1"/>
      <c r="GC1727" s="1"/>
      <c r="GD1727" s="1"/>
      <c r="GE1727" s="1"/>
      <c r="GF1727" s="1"/>
      <c r="GG1727" s="1"/>
      <c r="GH1727" s="1"/>
      <c r="GI1727" s="1"/>
      <c r="GJ1727" s="1"/>
      <c r="GK1727" s="1"/>
      <c r="GL1727" s="1"/>
      <c r="GM1727" s="1"/>
      <c r="GN1727" s="1"/>
      <c r="GO1727" s="1"/>
      <c r="GP1727" s="1"/>
      <c r="GQ1727" s="1"/>
      <c r="GR1727" s="1"/>
      <c r="GS1727" s="1"/>
      <c r="GT1727" s="1"/>
      <c r="GU1727" s="1"/>
      <c r="GV1727" s="1"/>
      <c r="GW1727" s="1"/>
      <c r="GX1727" s="1"/>
      <c r="GY1727" s="1"/>
      <c r="GZ1727" s="1"/>
      <c r="HA1727" s="1"/>
      <c r="HB1727" s="1"/>
      <c r="HC1727" s="1"/>
      <c r="HD1727" s="1"/>
      <c r="HE1727" s="1"/>
      <c r="HF1727" s="1"/>
      <c r="HG1727" s="1"/>
      <c r="HH1727" s="1"/>
    </row>
    <row r="1728" spans="1:216" x14ac:dyDescent="0.3">
      <c r="A1728" s="3"/>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c r="EF1728" s="1"/>
      <c r="EG1728" s="1"/>
      <c r="EH1728" s="1"/>
      <c r="EI1728" s="1"/>
      <c r="EJ1728" s="1"/>
      <c r="EK1728" s="1"/>
      <c r="EL1728" s="1"/>
      <c r="EM1728" s="1"/>
      <c r="EN1728" s="1"/>
      <c r="EO1728" s="1"/>
      <c r="EP1728" s="1"/>
      <c r="EQ1728" s="1"/>
      <c r="ER1728" s="1"/>
      <c r="ES1728" s="1"/>
      <c r="ET1728" s="1"/>
      <c r="EU1728" s="1"/>
      <c r="EV1728" s="1"/>
      <c r="EW1728" s="1"/>
      <c r="EX1728" s="1"/>
      <c r="EY1728" s="1"/>
      <c r="EZ1728" s="1"/>
      <c r="FA1728" s="1"/>
      <c r="FB1728" s="1"/>
      <c r="FC1728" s="1"/>
      <c r="FD1728" s="1"/>
      <c r="FE1728" s="1"/>
      <c r="FF1728" s="1"/>
      <c r="FG1728" s="1"/>
      <c r="FH1728" s="1"/>
      <c r="FI1728" s="1"/>
      <c r="FJ1728" s="1"/>
      <c r="FK1728" s="1"/>
      <c r="FL1728" s="1"/>
      <c r="FM1728" s="1"/>
      <c r="FN1728" s="1"/>
      <c r="FO1728" s="1"/>
      <c r="FP1728" s="1"/>
      <c r="FQ1728" s="1"/>
      <c r="FR1728" s="1"/>
      <c r="FS1728" s="1"/>
      <c r="FT1728" s="1"/>
      <c r="FU1728" s="1"/>
      <c r="FV1728" s="1"/>
      <c r="FW1728" s="1"/>
      <c r="FX1728" s="1"/>
      <c r="FY1728" s="1"/>
      <c r="FZ1728" s="1"/>
      <c r="GA1728" s="1"/>
      <c r="GB1728" s="1"/>
      <c r="GC1728" s="1"/>
      <c r="GD1728" s="1"/>
      <c r="GE1728" s="1"/>
      <c r="GF1728" s="1"/>
      <c r="GG1728" s="1"/>
      <c r="GH1728" s="1"/>
      <c r="GI1728" s="1"/>
      <c r="GJ1728" s="1"/>
      <c r="GK1728" s="1"/>
      <c r="GL1728" s="1"/>
      <c r="GM1728" s="1"/>
      <c r="GN1728" s="1"/>
      <c r="GO1728" s="1"/>
      <c r="GP1728" s="1"/>
      <c r="GQ1728" s="1"/>
      <c r="GR1728" s="1"/>
      <c r="GS1728" s="1"/>
      <c r="GT1728" s="1"/>
      <c r="GU1728" s="1"/>
      <c r="GV1728" s="1"/>
      <c r="GW1728" s="1"/>
      <c r="GX1728" s="1"/>
      <c r="GY1728" s="1"/>
      <c r="GZ1728" s="1"/>
      <c r="HA1728" s="1"/>
      <c r="HB1728" s="1"/>
      <c r="HC1728" s="1"/>
      <c r="HD1728" s="1"/>
      <c r="HE1728" s="1"/>
      <c r="HF1728" s="1"/>
      <c r="HG1728" s="1"/>
      <c r="HH1728" s="1"/>
    </row>
    <row r="1729" spans="1:216" x14ac:dyDescent="0.3">
      <c r="A1729" s="3"/>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c r="EF1729" s="1"/>
      <c r="EG1729" s="1"/>
      <c r="EH1729" s="1"/>
      <c r="EI1729" s="1"/>
      <c r="EJ1729" s="1"/>
      <c r="EK1729" s="1"/>
      <c r="EL1729" s="1"/>
      <c r="EM1729" s="1"/>
      <c r="EN1729" s="1"/>
      <c r="EO1729" s="1"/>
      <c r="EP1729" s="1"/>
      <c r="EQ1729" s="1"/>
      <c r="ER1729" s="1"/>
      <c r="ES1729" s="1"/>
      <c r="ET1729" s="1"/>
      <c r="EU1729" s="1"/>
      <c r="EV1729" s="1"/>
      <c r="EW1729" s="1"/>
      <c r="EX1729" s="1"/>
      <c r="EY1729" s="1"/>
      <c r="EZ1729" s="1"/>
      <c r="FA1729" s="1"/>
      <c r="FB1729" s="1"/>
      <c r="FC1729" s="1"/>
      <c r="FD1729" s="1"/>
      <c r="FE1729" s="1"/>
      <c r="FF1729" s="1"/>
      <c r="FG1729" s="1"/>
      <c r="FH1729" s="1"/>
      <c r="FI1729" s="1"/>
      <c r="FJ1729" s="1"/>
      <c r="FK1729" s="1"/>
      <c r="FL1729" s="1"/>
      <c r="FM1729" s="1"/>
      <c r="FN1729" s="1"/>
      <c r="FO1729" s="1"/>
      <c r="FP1729" s="1"/>
      <c r="FQ1729" s="1"/>
      <c r="FR1729" s="1"/>
      <c r="FS1729" s="1"/>
      <c r="FT1729" s="1"/>
      <c r="FU1729" s="1"/>
      <c r="FV1729" s="1"/>
      <c r="FW1729" s="1"/>
      <c r="FX1729" s="1"/>
      <c r="FY1729" s="1"/>
      <c r="FZ1729" s="1"/>
      <c r="GA1729" s="1"/>
      <c r="GB1729" s="1"/>
      <c r="GC1729" s="1"/>
      <c r="GD1729" s="1"/>
      <c r="GE1729" s="1"/>
      <c r="GF1729" s="1"/>
      <c r="GG1729" s="1"/>
      <c r="GH1729" s="1"/>
      <c r="GI1729" s="1"/>
      <c r="GJ1729" s="1"/>
      <c r="GK1729" s="1"/>
      <c r="GL1729" s="1"/>
      <c r="GM1729" s="1"/>
      <c r="GN1729" s="1"/>
      <c r="GO1729" s="1"/>
      <c r="GP1729" s="1"/>
      <c r="GQ1729" s="1"/>
      <c r="GR1729" s="1"/>
      <c r="GS1729" s="1"/>
      <c r="GT1729" s="1"/>
      <c r="GU1729" s="1"/>
      <c r="GV1729" s="1"/>
      <c r="GW1729" s="1"/>
      <c r="GX1729" s="1"/>
      <c r="GY1729" s="1"/>
      <c r="GZ1729" s="1"/>
      <c r="HA1729" s="1"/>
      <c r="HB1729" s="1"/>
      <c r="HC1729" s="1"/>
      <c r="HD1729" s="1"/>
      <c r="HE1729" s="1"/>
      <c r="HF1729" s="1"/>
      <c r="HG1729" s="1"/>
      <c r="HH1729" s="1"/>
    </row>
    <row r="1730" spans="1:216" x14ac:dyDescent="0.3">
      <c r="A1730" s="3"/>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c r="EF1730" s="1"/>
      <c r="EG1730" s="1"/>
      <c r="EH1730" s="1"/>
      <c r="EI1730" s="1"/>
      <c r="EJ1730" s="1"/>
      <c r="EK1730" s="1"/>
      <c r="EL1730" s="1"/>
      <c r="EM1730" s="1"/>
      <c r="EN1730" s="1"/>
      <c r="EO1730" s="1"/>
      <c r="EP1730" s="1"/>
      <c r="EQ1730" s="1"/>
      <c r="ER1730" s="1"/>
      <c r="ES1730" s="1"/>
      <c r="ET1730" s="1"/>
      <c r="EU1730" s="1"/>
      <c r="EV1730" s="1"/>
      <c r="EW1730" s="1"/>
      <c r="EX1730" s="1"/>
      <c r="EY1730" s="1"/>
      <c r="EZ1730" s="1"/>
      <c r="FA1730" s="1"/>
      <c r="FB1730" s="1"/>
      <c r="FC1730" s="1"/>
      <c r="FD1730" s="1"/>
      <c r="FE1730" s="1"/>
      <c r="FF1730" s="1"/>
      <c r="FG1730" s="1"/>
      <c r="FH1730" s="1"/>
      <c r="FI1730" s="1"/>
      <c r="FJ1730" s="1"/>
      <c r="FK1730" s="1"/>
      <c r="FL1730" s="1"/>
      <c r="FM1730" s="1"/>
      <c r="FN1730" s="1"/>
      <c r="FO1730" s="1"/>
      <c r="FP1730" s="1"/>
      <c r="FQ1730" s="1"/>
      <c r="FR1730" s="1"/>
      <c r="FS1730" s="1"/>
      <c r="FT1730" s="1"/>
      <c r="FU1730" s="1"/>
      <c r="FV1730" s="1"/>
      <c r="FW1730" s="1"/>
      <c r="FX1730" s="1"/>
      <c r="FY1730" s="1"/>
      <c r="FZ1730" s="1"/>
      <c r="GA1730" s="1"/>
      <c r="GB1730" s="1"/>
      <c r="GC1730" s="1"/>
      <c r="GD1730" s="1"/>
      <c r="GE1730" s="1"/>
      <c r="GF1730" s="1"/>
      <c r="GG1730" s="1"/>
      <c r="GH1730" s="1"/>
      <c r="GI1730" s="1"/>
      <c r="GJ1730" s="1"/>
      <c r="GK1730" s="1"/>
      <c r="GL1730" s="1"/>
      <c r="GM1730" s="1"/>
      <c r="GN1730" s="1"/>
      <c r="GO1730" s="1"/>
      <c r="GP1730" s="1"/>
      <c r="GQ1730" s="1"/>
      <c r="GR1730" s="1"/>
      <c r="GS1730" s="1"/>
      <c r="GT1730" s="1"/>
      <c r="GU1730" s="1"/>
      <c r="GV1730" s="1"/>
      <c r="GW1730" s="1"/>
      <c r="GX1730" s="1"/>
      <c r="GY1730" s="1"/>
      <c r="GZ1730" s="1"/>
      <c r="HA1730" s="1"/>
      <c r="HB1730" s="1"/>
      <c r="HC1730" s="1"/>
      <c r="HD1730" s="1"/>
      <c r="HE1730" s="1"/>
      <c r="HF1730" s="1"/>
      <c r="HG1730" s="1"/>
      <c r="HH1730" s="1"/>
    </row>
    <row r="1731" spans="1:216" x14ac:dyDescent="0.3">
      <c r="A1731" s="3"/>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c r="EF1731" s="1"/>
      <c r="EG1731" s="1"/>
      <c r="EH1731" s="1"/>
      <c r="EI1731" s="1"/>
      <c r="EJ1731" s="1"/>
      <c r="EK1731" s="1"/>
      <c r="EL1731" s="1"/>
      <c r="EM1731" s="1"/>
      <c r="EN1731" s="1"/>
      <c r="EO1731" s="1"/>
      <c r="EP1731" s="1"/>
      <c r="EQ1731" s="1"/>
      <c r="ER1731" s="1"/>
      <c r="ES1731" s="1"/>
      <c r="ET1731" s="1"/>
      <c r="EU1731" s="1"/>
      <c r="EV1731" s="1"/>
      <c r="EW1731" s="1"/>
      <c r="EX1731" s="1"/>
      <c r="EY1731" s="1"/>
      <c r="EZ1731" s="1"/>
      <c r="FA1731" s="1"/>
      <c r="FB1731" s="1"/>
      <c r="FC1731" s="1"/>
      <c r="FD1731" s="1"/>
      <c r="FE1731" s="1"/>
      <c r="FF1731" s="1"/>
      <c r="FG1731" s="1"/>
      <c r="FH1731" s="1"/>
      <c r="FI1731" s="1"/>
      <c r="FJ1731" s="1"/>
      <c r="FK1731" s="1"/>
      <c r="FL1731" s="1"/>
      <c r="FM1731" s="1"/>
      <c r="FN1731" s="1"/>
      <c r="FO1731" s="1"/>
      <c r="FP1731" s="1"/>
      <c r="FQ1731" s="1"/>
      <c r="FR1731" s="1"/>
      <c r="FS1731" s="1"/>
      <c r="FT1731" s="1"/>
      <c r="FU1731" s="1"/>
      <c r="FV1731" s="1"/>
      <c r="FW1731" s="1"/>
      <c r="FX1731" s="1"/>
      <c r="FY1731" s="1"/>
      <c r="FZ1731" s="1"/>
      <c r="GA1731" s="1"/>
      <c r="GB1731" s="1"/>
      <c r="GC1731" s="1"/>
      <c r="GD1731" s="1"/>
      <c r="GE1731" s="1"/>
      <c r="GF1731" s="1"/>
      <c r="GG1731" s="1"/>
      <c r="GH1731" s="1"/>
      <c r="GI1731" s="1"/>
      <c r="GJ1731" s="1"/>
      <c r="GK1731" s="1"/>
      <c r="GL1731" s="1"/>
      <c r="GM1731" s="1"/>
      <c r="GN1731" s="1"/>
      <c r="GO1731" s="1"/>
      <c r="GP1731" s="1"/>
      <c r="GQ1731" s="1"/>
      <c r="GR1731" s="1"/>
      <c r="GS1731" s="1"/>
      <c r="GT1731" s="1"/>
      <c r="GU1731" s="1"/>
      <c r="GV1731" s="1"/>
      <c r="GW1731" s="1"/>
      <c r="GX1731" s="1"/>
      <c r="GY1731" s="1"/>
      <c r="GZ1731" s="1"/>
      <c r="HA1731" s="1"/>
      <c r="HB1731" s="1"/>
      <c r="HC1731" s="1"/>
      <c r="HD1731" s="1"/>
      <c r="HE1731" s="1"/>
      <c r="HF1731" s="1"/>
      <c r="HG1731" s="1"/>
      <c r="HH1731" s="1"/>
    </row>
    <row r="1732" spans="1:216" x14ac:dyDescent="0.3">
      <c r="A1732" s="3"/>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c r="EF1732" s="1"/>
      <c r="EG1732" s="1"/>
      <c r="EH1732" s="1"/>
      <c r="EI1732" s="1"/>
      <c r="EJ1732" s="1"/>
      <c r="EK1732" s="1"/>
      <c r="EL1732" s="1"/>
      <c r="EM1732" s="1"/>
      <c r="EN1732" s="1"/>
      <c r="EO1732" s="1"/>
      <c r="EP1732" s="1"/>
      <c r="EQ1732" s="1"/>
      <c r="ER1732" s="1"/>
      <c r="ES1732" s="1"/>
      <c r="ET1732" s="1"/>
      <c r="EU1732" s="1"/>
      <c r="EV1732" s="1"/>
      <c r="EW1732" s="1"/>
      <c r="EX1732" s="1"/>
      <c r="EY1732" s="1"/>
      <c r="EZ1732" s="1"/>
      <c r="FA1732" s="1"/>
      <c r="FB1732" s="1"/>
      <c r="FC1732" s="1"/>
      <c r="FD1732" s="1"/>
      <c r="FE1732" s="1"/>
      <c r="FF1732" s="1"/>
      <c r="FG1732" s="1"/>
      <c r="FH1732" s="1"/>
      <c r="FI1732" s="1"/>
      <c r="FJ1732" s="1"/>
      <c r="FK1732" s="1"/>
      <c r="FL1732" s="1"/>
      <c r="FM1732" s="1"/>
      <c r="FN1732" s="1"/>
      <c r="FO1732" s="1"/>
      <c r="FP1732" s="1"/>
      <c r="FQ1732" s="1"/>
      <c r="FR1732" s="1"/>
      <c r="FS1732" s="1"/>
      <c r="FT1732" s="1"/>
      <c r="FU1732" s="1"/>
      <c r="FV1732" s="1"/>
      <c r="FW1732" s="1"/>
      <c r="FX1732" s="1"/>
      <c r="FY1732" s="1"/>
      <c r="FZ1732" s="1"/>
      <c r="GA1732" s="1"/>
      <c r="GB1732" s="1"/>
      <c r="GC1732" s="1"/>
      <c r="GD1732" s="1"/>
      <c r="GE1732" s="1"/>
      <c r="GF1732" s="1"/>
      <c r="GG1732" s="1"/>
      <c r="GH1732" s="1"/>
      <c r="GI1732" s="1"/>
      <c r="GJ1732" s="1"/>
      <c r="GK1732" s="1"/>
      <c r="GL1732" s="1"/>
      <c r="GM1732" s="1"/>
      <c r="GN1732" s="1"/>
      <c r="GO1732" s="1"/>
      <c r="GP1732" s="1"/>
      <c r="GQ1732" s="1"/>
      <c r="GR1732" s="1"/>
      <c r="GS1732" s="1"/>
      <c r="GT1732" s="1"/>
      <c r="GU1732" s="1"/>
      <c r="GV1732" s="1"/>
      <c r="GW1732" s="1"/>
      <c r="GX1732" s="1"/>
      <c r="GY1732" s="1"/>
      <c r="GZ1732" s="1"/>
      <c r="HA1732" s="1"/>
      <c r="HB1732" s="1"/>
      <c r="HC1732" s="1"/>
      <c r="HD1732" s="1"/>
      <c r="HE1732" s="1"/>
      <c r="HF1732" s="1"/>
      <c r="HG1732" s="1"/>
      <c r="HH1732" s="1"/>
    </row>
    <row r="1733" spans="1:216" x14ac:dyDescent="0.3">
      <c r="A1733" s="3"/>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c r="EF1733" s="1"/>
      <c r="EG1733" s="1"/>
      <c r="EH1733" s="1"/>
      <c r="EI1733" s="1"/>
      <c r="EJ1733" s="1"/>
      <c r="EK1733" s="1"/>
      <c r="EL1733" s="1"/>
      <c r="EM1733" s="1"/>
      <c r="EN1733" s="1"/>
      <c r="EO1733" s="1"/>
      <c r="EP1733" s="1"/>
      <c r="EQ1733" s="1"/>
      <c r="ER1733" s="1"/>
      <c r="ES1733" s="1"/>
      <c r="ET1733" s="1"/>
      <c r="EU1733" s="1"/>
      <c r="EV1733" s="1"/>
      <c r="EW1733" s="1"/>
      <c r="EX1733" s="1"/>
      <c r="EY1733" s="1"/>
      <c r="EZ1733" s="1"/>
      <c r="FA1733" s="1"/>
      <c r="FB1733" s="1"/>
      <c r="FC1733" s="1"/>
      <c r="FD1733" s="1"/>
      <c r="FE1733" s="1"/>
      <c r="FF1733" s="1"/>
      <c r="FG1733" s="1"/>
      <c r="FH1733" s="1"/>
      <c r="FI1733" s="1"/>
      <c r="FJ1733" s="1"/>
      <c r="FK1733" s="1"/>
      <c r="FL1733" s="1"/>
      <c r="FM1733" s="1"/>
      <c r="FN1733" s="1"/>
      <c r="FO1733" s="1"/>
      <c r="FP1733" s="1"/>
      <c r="FQ1733" s="1"/>
      <c r="FR1733" s="1"/>
      <c r="FS1733" s="1"/>
      <c r="FT1733" s="1"/>
      <c r="FU1733" s="1"/>
      <c r="FV1733" s="1"/>
      <c r="FW1733" s="1"/>
      <c r="FX1733" s="1"/>
      <c r="FY1733" s="1"/>
      <c r="FZ1733" s="1"/>
      <c r="GA1733" s="1"/>
      <c r="GB1733" s="1"/>
      <c r="GC1733" s="1"/>
      <c r="GD1733" s="1"/>
      <c r="GE1733" s="1"/>
      <c r="GF1733" s="1"/>
      <c r="GG1733" s="1"/>
      <c r="GH1733" s="1"/>
      <c r="GI1733" s="1"/>
      <c r="GJ1733" s="1"/>
      <c r="GK1733" s="1"/>
      <c r="GL1733" s="1"/>
      <c r="GM1733" s="1"/>
      <c r="GN1733" s="1"/>
      <c r="GO1733" s="1"/>
      <c r="GP1733" s="1"/>
      <c r="GQ1733" s="1"/>
      <c r="GR1733" s="1"/>
      <c r="GS1733" s="1"/>
      <c r="GT1733" s="1"/>
      <c r="GU1733" s="1"/>
      <c r="GV1733" s="1"/>
      <c r="GW1733" s="1"/>
      <c r="GX1733" s="1"/>
      <c r="GY1733" s="1"/>
      <c r="GZ1733" s="1"/>
      <c r="HA1733" s="1"/>
      <c r="HB1733" s="1"/>
      <c r="HC1733" s="1"/>
      <c r="HD1733" s="1"/>
      <c r="HE1733" s="1"/>
      <c r="HF1733" s="1"/>
      <c r="HG1733" s="1"/>
      <c r="HH1733" s="1"/>
    </row>
    <row r="1734" spans="1:216" x14ac:dyDescent="0.3">
      <c r="A1734" s="3"/>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c r="EF1734" s="1"/>
      <c r="EG1734" s="1"/>
      <c r="EH1734" s="1"/>
      <c r="EI1734" s="1"/>
      <c r="EJ1734" s="1"/>
      <c r="EK1734" s="1"/>
      <c r="EL1734" s="1"/>
      <c r="EM1734" s="1"/>
      <c r="EN1734" s="1"/>
      <c r="EO1734" s="1"/>
      <c r="EP1734" s="1"/>
      <c r="EQ1734" s="1"/>
      <c r="ER1734" s="1"/>
      <c r="ES1734" s="1"/>
      <c r="ET1734" s="1"/>
      <c r="EU1734" s="1"/>
      <c r="EV1734" s="1"/>
      <c r="EW1734" s="1"/>
      <c r="EX1734" s="1"/>
      <c r="EY1734" s="1"/>
      <c r="EZ1734" s="1"/>
      <c r="FA1734" s="1"/>
      <c r="FB1734" s="1"/>
      <c r="FC1734" s="1"/>
      <c r="FD1734" s="1"/>
      <c r="FE1734" s="1"/>
      <c r="FF1734" s="1"/>
      <c r="FG1734" s="1"/>
      <c r="FH1734" s="1"/>
      <c r="FI1734" s="1"/>
      <c r="FJ1734" s="1"/>
      <c r="FK1734" s="1"/>
      <c r="FL1734" s="1"/>
      <c r="FM1734" s="1"/>
      <c r="FN1734" s="1"/>
      <c r="FO1734" s="1"/>
      <c r="FP1734" s="1"/>
      <c r="FQ1734" s="1"/>
      <c r="FR1734" s="1"/>
      <c r="FS1734" s="1"/>
      <c r="FT1734" s="1"/>
      <c r="FU1734" s="1"/>
      <c r="FV1734" s="1"/>
      <c r="FW1734" s="1"/>
      <c r="FX1734" s="1"/>
      <c r="FY1734" s="1"/>
      <c r="FZ1734" s="1"/>
      <c r="GA1734" s="1"/>
      <c r="GB1734" s="1"/>
      <c r="GC1734" s="1"/>
      <c r="GD1734" s="1"/>
      <c r="GE1734" s="1"/>
      <c r="GF1734" s="1"/>
      <c r="GG1734" s="1"/>
      <c r="GH1734" s="1"/>
      <c r="GI1734" s="1"/>
      <c r="GJ1734" s="1"/>
      <c r="GK1734" s="1"/>
      <c r="GL1734" s="1"/>
      <c r="GM1734" s="1"/>
      <c r="GN1734" s="1"/>
      <c r="GO1734" s="1"/>
      <c r="GP1734" s="1"/>
      <c r="GQ1734" s="1"/>
      <c r="GR1734" s="1"/>
      <c r="GS1734" s="1"/>
      <c r="GT1734" s="1"/>
      <c r="GU1734" s="1"/>
      <c r="GV1734" s="1"/>
      <c r="GW1734" s="1"/>
      <c r="GX1734" s="1"/>
      <c r="GY1734" s="1"/>
      <c r="GZ1734" s="1"/>
      <c r="HA1734" s="1"/>
      <c r="HB1734" s="1"/>
      <c r="HC1734" s="1"/>
      <c r="HD1734" s="1"/>
      <c r="HE1734" s="1"/>
      <c r="HF1734" s="1"/>
      <c r="HG1734" s="1"/>
      <c r="HH1734" s="1"/>
    </row>
    <row r="1735" spans="1:216" x14ac:dyDescent="0.3">
      <c r="A1735" s="3"/>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c r="EF1735" s="1"/>
      <c r="EG1735" s="1"/>
      <c r="EH1735" s="1"/>
      <c r="EI1735" s="1"/>
      <c r="EJ1735" s="1"/>
      <c r="EK1735" s="1"/>
      <c r="EL1735" s="1"/>
      <c r="EM1735" s="1"/>
      <c r="EN1735" s="1"/>
      <c r="EO1735" s="1"/>
      <c r="EP1735" s="1"/>
      <c r="EQ1735" s="1"/>
      <c r="ER1735" s="1"/>
      <c r="ES1735" s="1"/>
      <c r="ET1735" s="1"/>
      <c r="EU1735" s="1"/>
      <c r="EV1735" s="1"/>
      <c r="EW1735" s="1"/>
      <c r="EX1735" s="1"/>
      <c r="EY1735" s="1"/>
      <c r="EZ1735" s="1"/>
      <c r="FA1735" s="1"/>
      <c r="FB1735" s="1"/>
      <c r="FC1735" s="1"/>
      <c r="FD1735" s="1"/>
      <c r="FE1735" s="1"/>
      <c r="FF1735" s="1"/>
      <c r="FG1735" s="1"/>
      <c r="FH1735" s="1"/>
      <c r="FI1735" s="1"/>
      <c r="FJ1735" s="1"/>
      <c r="FK1735" s="1"/>
      <c r="FL1735" s="1"/>
      <c r="FM1735" s="1"/>
      <c r="FN1735" s="1"/>
      <c r="FO1735" s="1"/>
      <c r="FP1735" s="1"/>
      <c r="FQ1735" s="1"/>
      <c r="FR1735" s="1"/>
      <c r="FS1735" s="1"/>
      <c r="FT1735" s="1"/>
      <c r="FU1735" s="1"/>
      <c r="FV1735" s="1"/>
      <c r="FW1735" s="1"/>
      <c r="FX1735" s="1"/>
      <c r="FY1735" s="1"/>
      <c r="FZ1735" s="1"/>
      <c r="GA1735" s="1"/>
      <c r="GB1735" s="1"/>
      <c r="GC1735" s="1"/>
      <c r="GD1735" s="1"/>
      <c r="GE1735" s="1"/>
      <c r="GF1735" s="1"/>
      <c r="GG1735" s="1"/>
      <c r="GH1735" s="1"/>
      <c r="GI1735" s="1"/>
      <c r="GJ1735" s="1"/>
      <c r="GK1735" s="1"/>
      <c r="GL1735" s="1"/>
      <c r="GM1735" s="1"/>
      <c r="GN1735" s="1"/>
      <c r="GO1735" s="1"/>
      <c r="GP1735" s="1"/>
      <c r="GQ1735" s="1"/>
      <c r="GR1735" s="1"/>
      <c r="GS1735" s="1"/>
      <c r="GT1735" s="1"/>
      <c r="GU1735" s="1"/>
      <c r="GV1735" s="1"/>
      <c r="GW1735" s="1"/>
      <c r="GX1735" s="1"/>
      <c r="GY1735" s="1"/>
      <c r="GZ1735" s="1"/>
      <c r="HA1735" s="1"/>
      <c r="HB1735" s="1"/>
      <c r="HC1735" s="1"/>
      <c r="HD1735" s="1"/>
      <c r="HE1735" s="1"/>
      <c r="HF1735" s="1"/>
      <c r="HG1735" s="1"/>
      <c r="HH1735" s="1"/>
    </row>
    <row r="1736" spans="1:216" x14ac:dyDescent="0.3">
      <c r="A1736" s="3"/>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c r="EF1736" s="1"/>
      <c r="EG1736" s="1"/>
      <c r="EH1736" s="1"/>
      <c r="EI1736" s="1"/>
      <c r="EJ1736" s="1"/>
      <c r="EK1736" s="1"/>
      <c r="EL1736" s="1"/>
      <c r="EM1736" s="1"/>
      <c r="EN1736" s="1"/>
      <c r="EO1736" s="1"/>
      <c r="EP1736" s="1"/>
      <c r="EQ1736" s="1"/>
      <c r="ER1736" s="1"/>
      <c r="ES1736" s="1"/>
      <c r="ET1736" s="1"/>
      <c r="EU1736" s="1"/>
      <c r="EV1736" s="1"/>
      <c r="EW1736" s="1"/>
      <c r="EX1736" s="1"/>
      <c r="EY1736" s="1"/>
      <c r="EZ1736" s="1"/>
      <c r="FA1736" s="1"/>
      <c r="FB1736" s="1"/>
      <c r="FC1736" s="1"/>
      <c r="FD1736" s="1"/>
      <c r="FE1736" s="1"/>
      <c r="FF1736" s="1"/>
      <c r="FG1736" s="1"/>
      <c r="FH1736" s="1"/>
      <c r="FI1736" s="1"/>
      <c r="FJ1736" s="1"/>
      <c r="FK1736" s="1"/>
      <c r="FL1736" s="1"/>
      <c r="FM1736" s="1"/>
      <c r="FN1736" s="1"/>
      <c r="FO1736" s="1"/>
      <c r="FP1736" s="1"/>
      <c r="FQ1736" s="1"/>
      <c r="FR1736" s="1"/>
      <c r="FS1736" s="1"/>
      <c r="FT1736" s="1"/>
      <c r="FU1736" s="1"/>
      <c r="FV1736" s="1"/>
      <c r="FW1736" s="1"/>
      <c r="FX1736" s="1"/>
      <c r="FY1736" s="1"/>
      <c r="FZ1736" s="1"/>
      <c r="GA1736" s="1"/>
      <c r="GB1736" s="1"/>
      <c r="GC1736" s="1"/>
      <c r="GD1736" s="1"/>
      <c r="GE1736" s="1"/>
      <c r="GF1736" s="1"/>
      <c r="GG1736" s="1"/>
      <c r="GH1736" s="1"/>
      <c r="GI1736" s="1"/>
      <c r="GJ1736" s="1"/>
      <c r="GK1736" s="1"/>
      <c r="GL1736" s="1"/>
      <c r="GM1736" s="1"/>
      <c r="GN1736" s="1"/>
      <c r="GO1736" s="1"/>
      <c r="GP1736" s="1"/>
      <c r="GQ1736" s="1"/>
      <c r="GR1736" s="1"/>
      <c r="GS1736" s="1"/>
      <c r="GT1736" s="1"/>
      <c r="GU1736" s="1"/>
      <c r="GV1736" s="1"/>
      <c r="GW1736" s="1"/>
      <c r="GX1736" s="1"/>
      <c r="GY1736" s="1"/>
      <c r="GZ1736" s="1"/>
      <c r="HA1736" s="1"/>
      <c r="HB1736" s="1"/>
      <c r="HC1736" s="1"/>
      <c r="HD1736" s="1"/>
      <c r="HE1736" s="1"/>
      <c r="HF1736" s="1"/>
      <c r="HG1736" s="1"/>
      <c r="HH1736" s="1"/>
    </row>
    <row r="1737" spans="1:216" x14ac:dyDescent="0.3">
      <c r="A1737" s="3"/>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c r="DU1737" s="1"/>
      <c r="DV1737" s="1"/>
      <c r="DW1737" s="1"/>
      <c r="DX1737" s="1"/>
      <c r="DY1737" s="1"/>
      <c r="DZ1737" s="1"/>
      <c r="EA1737" s="1"/>
      <c r="EB1737" s="1"/>
      <c r="EC1737" s="1"/>
      <c r="ED1737" s="1"/>
      <c r="EE1737" s="1"/>
      <c r="EF1737" s="1"/>
      <c r="EG1737" s="1"/>
      <c r="EH1737" s="1"/>
      <c r="EI1737" s="1"/>
      <c r="EJ1737" s="1"/>
      <c r="EK1737" s="1"/>
      <c r="EL1737" s="1"/>
      <c r="EM1737" s="1"/>
      <c r="EN1737" s="1"/>
      <c r="EO1737" s="1"/>
      <c r="EP1737" s="1"/>
      <c r="EQ1737" s="1"/>
      <c r="ER1737" s="1"/>
      <c r="ES1737" s="1"/>
      <c r="ET1737" s="1"/>
      <c r="EU1737" s="1"/>
      <c r="EV1737" s="1"/>
      <c r="EW1737" s="1"/>
      <c r="EX1737" s="1"/>
      <c r="EY1737" s="1"/>
      <c r="EZ1737" s="1"/>
      <c r="FA1737" s="1"/>
      <c r="FB1737" s="1"/>
      <c r="FC1737" s="1"/>
      <c r="FD1737" s="1"/>
      <c r="FE1737" s="1"/>
      <c r="FF1737" s="1"/>
      <c r="FG1737" s="1"/>
      <c r="FH1737" s="1"/>
      <c r="FI1737" s="1"/>
      <c r="FJ1737" s="1"/>
      <c r="FK1737" s="1"/>
      <c r="FL1737" s="1"/>
      <c r="FM1737" s="1"/>
      <c r="FN1737" s="1"/>
      <c r="FO1737" s="1"/>
      <c r="FP1737" s="1"/>
      <c r="FQ1737" s="1"/>
      <c r="FR1737" s="1"/>
      <c r="FS1737" s="1"/>
      <c r="FT1737" s="1"/>
      <c r="FU1737" s="1"/>
      <c r="FV1737" s="1"/>
      <c r="FW1737" s="1"/>
      <c r="FX1737" s="1"/>
      <c r="FY1737" s="1"/>
      <c r="FZ1737" s="1"/>
      <c r="GA1737" s="1"/>
      <c r="GB1737" s="1"/>
      <c r="GC1737" s="1"/>
      <c r="GD1737" s="1"/>
      <c r="GE1737" s="1"/>
      <c r="GF1737" s="1"/>
      <c r="GG1737" s="1"/>
      <c r="GH1737" s="1"/>
      <c r="GI1737" s="1"/>
      <c r="GJ1737" s="1"/>
      <c r="GK1737" s="1"/>
      <c r="GL1737" s="1"/>
      <c r="GM1737" s="1"/>
      <c r="GN1737" s="1"/>
      <c r="GO1737" s="1"/>
      <c r="GP1737" s="1"/>
      <c r="GQ1737" s="1"/>
      <c r="GR1737" s="1"/>
      <c r="GS1737" s="1"/>
      <c r="GT1737" s="1"/>
      <c r="GU1737" s="1"/>
      <c r="GV1737" s="1"/>
      <c r="GW1737" s="1"/>
      <c r="GX1737" s="1"/>
      <c r="GY1737" s="1"/>
      <c r="GZ1737" s="1"/>
      <c r="HA1737" s="1"/>
      <c r="HB1737" s="1"/>
      <c r="HC1737" s="1"/>
      <c r="HD1737" s="1"/>
      <c r="HE1737" s="1"/>
      <c r="HF1737" s="1"/>
      <c r="HG1737" s="1"/>
      <c r="HH1737" s="1"/>
    </row>
    <row r="1738" spans="1:216" x14ac:dyDescent="0.3">
      <c r="A1738" s="3"/>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c r="EF1738" s="1"/>
      <c r="EG1738" s="1"/>
      <c r="EH1738" s="1"/>
      <c r="EI1738" s="1"/>
      <c r="EJ1738" s="1"/>
      <c r="EK1738" s="1"/>
      <c r="EL1738" s="1"/>
      <c r="EM1738" s="1"/>
      <c r="EN1738" s="1"/>
      <c r="EO1738" s="1"/>
      <c r="EP1738" s="1"/>
      <c r="EQ1738" s="1"/>
      <c r="ER1738" s="1"/>
      <c r="ES1738" s="1"/>
      <c r="ET1738" s="1"/>
      <c r="EU1738" s="1"/>
      <c r="EV1738" s="1"/>
      <c r="EW1738" s="1"/>
      <c r="EX1738" s="1"/>
      <c r="EY1738" s="1"/>
      <c r="EZ1738" s="1"/>
      <c r="FA1738" s="1"/>
      <c r="FB1738" s="1"/>
      <c r="FC1738" s="1"/>
      <c r="FD1738" s="1"/>
      <c r="FE1738" s="1"/>
      <c r="FF1738" s="1"/>
      <c r="FG1738" s="1"/>
      <c r="FH1738" s="1"/>
      <c r="FI1738" s="1"/>
      <c r="FJ1738" s="1"/>
      <c r="FK1738" s="1"/>
      <c r="FL1738" s="1"/>
      <c r="FM1738" s="1"/>
      <c r="FN1738" s="1"/>
      <c r="FO1738" s="1"/>
      <c r="FP1738" s="1"/>
      <c r="FQ1738" s="1"/>
      <c r="FR1738" s="1"/>
      <c r="FS1738" s="1"/>
      <c r="FT1738" s="1"/>
      <c r="FU1738" s="1"/>
      <c r="FV1738" s="1"/>
      <c r="FW1738" s="1"/>
      <c r="FX1738" s="1"/>
      <c r="FY1738" s="1"/>
      <c r="FZ1738" s="1"/>
      <c r="GA1738" s="1"/>
      <c r="GB1738" s="1"/>
      <c r="GC1738" s="1"/>
      <c r="GD1738" s="1"/>
      <c r="GE1738" s="1"/>
      <c r="GF1738" s="1"/>
      <c r="GG1738" s="1"/>
      <c r="GH1738" s="1"/>
      <c r="GI1738" s="1"/>
      <c r="GJ1738" s="1"/>
      <c r="GK1738" s="1"/>
      <c r="GL1738" s="1"/>
      <c r="GM1738" s="1"/>
      <c r="GN1738" s="1"/>
      <c r="GO1738" s="1"/>
      <c r="GP1738" s="1"/>
      <c r="GQ1738" s="1"/>
      <c r="GR1738" s="1"/>
      <c r="GS1738" s="1"/>
      <c r="GT1738" s="1"/>
      <c r="GU1738" s="1"/>
      <c r="GV1738" s="1"/>
      <c r="GW1738" s="1"/>
      <c r="GX1738" s="1"/>
      <c r="GY1738" s="1"/>
      <c r="GZ1738" s="1"/>
      <c r="HA1738" s="1"/>
      <c r="HB1738" s="1"/>
      <c r="HC1738" s="1"/>
      <c r="HD1738" s="1"/>
      <c r="HE1738" s="1"/>
      <c r="HF1738" s="1"/>
      <c r="HG1738" s="1"/>
      <c r="HH1738" s="1"/>
    </row>
    <row r="1739" spans="1:216" x14ac:dyDescent="0.3">
      <c r="A1739" s="3"/>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c r="EF1739" s="1"/>
      <c r="EG1739" s="1"/>
      <c r="EH1739" s="1"/>
      <c r="EI1739" s="1"/>
      <c r="EJ1739" s="1"/>
      <c r="EK1739" s="1"/>
      <c r="EL1739" s="1"/>
      <c r="EM1739" s="1"/>
      <c r="EN1739" s="1"/>
      <c r="EO1739" s="1"/>
      <c r="EP1739" s="1"/>
      <c r="EQ1739" s="1"/>
      <c r="ER1739" s="1"/>
      <c r="ES1739" s="1"/>
      <c r="ET1739" s="1"/>
      <c r="EU1739" s="1"/>
      <c r="EV1739" s="1"/>
      <c r="EW1739" s="1"/>
      <c r="EX1739" s="1"/>
      <c r="EY1739" s="1"/>
      <c r="EZ1739" s="1"/>
      <c r="FA1739" s="1"/>
      <c r="FB1739" s="1"/>
      <c r="FC1739" s="1"/>
      <c r="FD1739" s="1"/>
      <c r="FE1739" s="1"/>
      <c r="FF1739" s="1"/>
      <c r="FG1739" s="1"/>
      <c r="FH1739" s="1"/>
      <c r="FI1739" s="1"/>
      <c r="FJ1739" s="1"/>
      <c r="FK1739" s="1"/>
      <c r="FL1739" s="1"/>
      <c r="FM1739" s="1"/>
      <c r="FN1739" s="1"/>
      <c r="FO1739" s="1"/>
      <c r="FP1739" s="1"/>
      <c r="FQ1739" s="1"/>
      <c r="FR1739" s="1"/>
      <c r="FS1739" s="1"/>
      <c r="FT1739" s="1"/>
      <c r="FU1739" s="1"/>
      <c r="FV1739" s="1"/>
      <c r="FW1739" s="1"/>
      <c r="FX1739" s="1"/>
      <c r="FY1739" s="1"/>
      <c r="FZ1739" s="1"/>
      <c r="GA1739" s="1"/>
      <c r="GB1739" s="1"/>
      <c r="GC1739" s="1"/>
      <c r="GD1739" s="1"/>
      <c r="GE1739" s="1"/>
      <c r="GF1739" s="1"/>
      <c r="GG1739" s="1"/>
      <c r="GH1739" s="1"/>
      <c r="GI1739" s="1"/>
      <c r="GJ1739" s="1"/>
      <c r="GK1739" s="1"/>
      <c r="GL1739" s="1"/>
      <c r="GM1739" s="1"/>
      <c r="GN1739" s="1"/>
      <c r="GO1739" s="1"/>
      <c r="GP1739" s="1"/>
      <c r="GQ1739" s="1"/>
      <c r="GR1739" s="1"/>
      <c r="GS1739" s="1"/>
      <c r="GT1739" s="1"/>
      <c r="GU1739" s="1"/>
      <c r="GV1739" s="1"/>
      <c r="GW1739" s="1"/>
      <c r="GX1739" s="1"/>
      <c r="GY1739" s="1"/>
      <c r="GZ1739" s="1"/>
      <c r="HA1739" s="1"/>
      <c r="HB1739" s="1"/>
      <c r="HC1739" s="1"/>
      <c r="HD1739" s="1"/>
      <c r="HE1739" s="1"/>
      <c r="HF1739" s="1"/>
      <c r="HG1739" s="1"/>
      <c r="HH1739" s="1"/>
    </row>
    <row r="1740" spans="1:216" x14ac:dyDescent="0.3">
      <c r="A1740" s="3"/>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c r="EF1740" s="1"/>
      <c r="EG1740" s="1"/>
      <c r="EH1740" s="1"/>
      <c r="EI1740" s="1"/>
      <c r="EJ1740" s="1"/>
      <c r="EK1740" s="1"/>
      <c r="EL1740" s="1"/>
      <c r="EM1740" s="1"/>
      <c r="EN1740" s="1"/>
      <c r="EO1740" s="1"/>
      <c r="EP1740" s="1"/>
      <c r="EQ1740" s="1"/>
      <c r="ER1740" s="1"/>
      <c r="ES1740" s="1"/>
      <c r="ET1740" s="1"/>
      <c r="EU1740" s="1"/>
      <c r="EV1740" s="1"/>
      <c r="EW1740" s="1"/>
      <c r="EX1740" s="1"/>
      <c r="EY1740" s="1"/>
      <c r="EZ1740" s="1"/>
      <c r="FA1740" s="1"/>
      <c r="FB1740" s="1"/>
      <c r="FC1740" s="1"/>
      <c r="FD1740" s="1"/>
      <c r="FE1740" s="1"/>
      <c r="FF1740" s="1"/>
      <c r="FG1740" s="1"/>
      <c r="FH1740" s="1"/>
      <c r="FI1740" s="1"/>
      <c r="FJ1740" s="1"/>
      <c r="FK1740" s="1"/>
      <c r="FL1740" s="1"/>
      <c r="FM1740" s="1"/>
      <c r="FN1740" s="1"/>
      <c r="FO1740" s="1"/>
      <c r="FP1740" s="1"/>
      <c r="FQ1740" s="1"/>
      <c r="FR1740" s="1"/>
      <c r="FS1740" s="1"/>
      <c r="FT1740" s="1"/>
      <c r="FU1740" s="1"/>
      <c r="FV1740" s="1"/>
      <c r="FW1740" s="1"/>
      <c r="FX1740" s="1"/>
      <c r="FY1740" s="1"/>
      <c r="FZ1740" s="1"/>
      <c r="GA1740" s="1"/>
      <c r="GB1740" s="1"/>
      <c r="GC1740" s="1"/>
      <c r="GD1740" s="1"/>
      <c r="GE1740" s="1"/>
      <c r="GF1740" s="1"/>
      <c r="GG1740" s="1"/>
      <c r="GH1740" s="1"/>
      <c r="GI1740" s="1"/>
      <c r="GJ1740" s="1"/>
      <c r="GK1740" s="1"/>
      <c r="GL1740" s="1"/>
      <c r="GM1740" s="1"/>
      <c r="GN1740" s="1"/>
      <c r="GO1740" s="1"/>
      <c r="GP1740" s="1"/>
      <c r="GQ1740" s="1"/>
      <c r="GR1740" s="1"/>
      <c r="GS1740" s="1"/>
      <c r="GT1740" s="1"/>
      <c r="GU1740" s="1"/>
      <c r="GV1740" s="1"/>
      <c r="GW1740" s="1"/>
      <c r="GX1740" s="1"/>
      <c r="GY1740" s="1"/>
      <c r="GZ1740" s="1"/>
      <c r="HA1740" s="1"/>
      <c r="HB1740" s="1"/>
      <c r="HC1740" s="1"/>
      <c r="HD1740" s="1"/>
      <c r="HE1740" s="1"/>
      <c r="HF1740" s="1"/>
      <c r="HG1740" s="1"/>
      <c r="HH1740" s="1"/>
    </row>
    <row r="1741" spans="1:216" x14ac:dyDescent="0.3">
      <c r="A1741" s="3"/>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c r="EF1741" s="1"/>
      <c r="EG1741" s="1"/>
      <c r="EH1741" s="1"/>
      <c r="EI1741" s="1"/>
      <c r="EJ1741" s="1"/>
      <c r="EK1741" s="1"/>
      <c r="EL1741" s="1"/>
      <c r="EM1741" s="1"/>
      <c r="EN1741" s="1"/>
      <c r="EO1741" s="1"/>
      <c r="EP1741" s="1"/>
      <c r="EQ1741" s="1"/>
      <c r="ER1741" s="1"/>
      <c r="ES1741" s="1"/>
      <c r="ET1741" s="1"/>
      <c r="EU1741" s="1"/>
      <c r="EV1741" s="1"/>
      <c r="EW1741" s="1"/>
      <c r="EX1741" s="1"/>
      <c r="EY1741" s="1"/>
      <c r="EZ1741" s="1"/>
      <c r="FA1741" s="1"/>
      <c r="FB1741" s="1"/>
      <c r="FC1741" s="1"/>
      <c r="FD1741" s="1"/>
      <c r="FE1741" s="1"/>
      <c r="FF1741" s="1"/>
      <c r="FG1741" s="1"/>
      <c r="FH1741" s="1"/>
      <c r="FI1741" s="1"/>
      <c r="FJ1741" s="1"/>
      <c r="FK1741" s="1"/>
      <c r="FL1741" s="1"/>
      <c r="FM1741" s="1"/>
      <c r="FN1741" s="1"/>
      <c r="FO1741" s="1"/>
      <c r="FP1741" s="1"/>
      <c r="FQ1741" s="1"/>
      <c r="FR1741" s="1"/>
      <c r="FS1741" s="1"/>
      <c r="FT1741" s="1"/>
      <c r="FU1741" s="1"/>
      <c r="FV1741" s="1"/>
      <c r="FW1741" s="1"/>
      <c r="FX1741" s="1"/>
      <c r="FY1741" s="1"/>
      <c r="FZ1741" s="1"/>
      <c r="GA1741" s="1"/>
      <c r="GB1741" s="1"/>
      <c r="GC1741" s="1"/>
      <c r="GD1741" s="1"/>
      <c r="GE1741" s="1"/>
      <c r="GF1741" s="1"/>
      <c r="GG1741" s="1"/>
      <c r="GH1741" s="1"/>
      <c r="GI1741" s="1"/>
      <c r="GJ1741" s="1"/>
      <c r="GK1741" s="1"/>
      <c r="GL1741" s="1"/>
      <c r="GM1741" s="1"/>
      <c r="GN1741" s="1"/>
      <c r="GO1741" s="1"/>
      <c r="GP1741" s="1"/>
      <c r="GQ1741" s="1"/>
      <c r="GR1741" s="1"/>
      <c r="GS1741" s="1"/>
      <c r="GT1741" s="1"/>
      <c r="GU1741" s="1"/>
      <c r="GV1741" s="1"/>
      <c r="GW1741" s="1"/>
      <c r="GX1741" s="1"/>
      <c r="GY1741" s="1"/>
      <c r="GZ1741" s="1"/>
      <c r="HA1741" s="1"/>
      <c r="HB1741" s="1"/>
      <c r="HC1741" s="1"/>
      <c r="HD1741" s="1"/>
      <c r="HE1741" s="1"/>
      <c r="HF1741" s="1"/>
      <c r="HG1741" s="1"/>
      <c r="HH1741" s="1"/>
    </row>
    <row r="1742" spans="1:216" x14ac:dyDescent="0.3">
      <c r="A1742" s="3"/>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c r="EF1742" s="1"/>
      <c r="EG1742" s="1"/>
      <c r="EH1742" s="1"/>
      <c r="EI1742" s="1"/>
      <c r="EJ1742" s="1"/>
      <c r="EK1742" s="1"/>
      <c r="EL1742" s="1"/>
      <c r="EM1742" s="1"/>
      <c r="EN1742" s="1"/>
      <c r="EO1742" s="1"/>
      <c r="EP1742" s="1"/>
      <c r="EQ1742" s="1"/>
      <c r="ER1742" s="1"/>
      <c r="ES1742" s="1"/>
      <c r="ET1742" s="1"/>
      <c r="EU1742" s="1"/>
      <c r="EV1742" s="1"/>
      <c r="EW1742" s="1"/>
      <c r="EX1742" s="1"/>
      <c r="EY1742" s="1"/>
      <c r="EZ1742" s="1"/>
      <c r="FA1742" s="1"/>
      <c r="FB1742" s="1"/>
      <c r="FC1742" s="1"/>
      <c r="FD1742" s="1"/>
      <c r="FE1742" s="1"/>
      <c r="FF1742" s="1"/>
      <c r="FG1742" s="1"/>
      <c r="FH1742" s="1"/>
      <c r="FI1742" s="1"/>
      <c r="FJ1742" s="1"/>
      <c r="FK1742" s="1"/>
      <c r="FL1742" s="1"/>
      <c r="FM1742" s="1"/>
      <c r="FN1742" s="1"/>
      <c r="FO1742" s="1"/>
      <c r="FP1742" s="1"/>
      <c r="FQ1742" s="1"/>
      <c r="FR1742" s="1"/>
      <c r="FS1742" s="1"/>
      <c r="FT1742" s="1"/>
      <c r="FU1742" s="1"/>
      <c r="FV1742" s="1"/>
      <c r="FW1742" s="1"/>
      <c r="FX1742" s="1"/>
      <c r="FY1742" s="1"/>
      <c r="FZ1742" s="1"/>
      <c r="GA1742" s="1"/>
      <c r="GB1742" s="1"/>
      <c r="GC1742" s="1"/>
      <c r="GD1742" s="1"/>
      <c r="GE1742" s="1"/>
      <c r="GF1742" s="1"/>
      <c r="GG1742" s="1"/>
      <c r="GH1742" s="1"/>
      <c r="GI1742" s="1"/>
      <c r="GJ1742" s="1"/>
      <c r="GK1742" s="1"/>
      <c r="GL1742" s="1"/>
      <c r="GM1742" s="1"/>
      <c r="GN1742" s="1"/>
      <c r="GO1742" s="1"/>
      <c r="GP1742" s="1"/>
      <c r="GQ1742" s="1"/>
      <c r="GR1742" s="1"/>
      <c r="GS1742" s="1"/>
      <c r="GT1742" s="1"/>
      <c r="GU1742" s="1"/>
      <c r="GV1742" s="1"/>
      <c r="GW1742" s="1"/>
      <c r="GX1742" s="1"/>
      <c r="GY1742" s="1"/>
      <c r="GZ1742" s="1"/>
      <c r="HA1742" s="1"/>
      <c r="HB1742" s="1"/>
      <c r="HC1742" s="1"/>
      <c r="HD1742" s="1"/>
      <c r="HE1742" s="1"/>
      <c r="HF1742" s="1"/>
      <c r="HG1742" s="1"/>
      <c r="HH1742" s="1"/>
    </row>
    <row r="1743" spans="1:216" x14ac:dyDescent="0.3">
      <c r="A1743" s="3"/>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c r="EC1743" s="1"/>
      <c r="ED1743" s="1"/>
      <c r="EE1743" s="1"/>
      <c r="EF1743" s="1"/>
      <c r="EG1743" s="1"/>
      <c r="EH1743" s="1"/>
      <c r="EI1743" s="1"/>
      <c r="EJ1743" s="1"/>
      <c r="EK1743" s="1"/>
      <c r="EL1743" s="1"/>
      <c r="EM1743" s="1"/>
      <c r="EN1743" s="1"/>
      <c r="EO1743" s="1"/>
      <c r="EP1743" s="1"/>
      <c r="EQ1743" s="1"/>
      <c r="ER1743" s="1"/>
      <c r="ES1743" s="1"/>
      <c r="ET1743" s="1"/>
      <c r="EU1743" s="1"/>
      <c r="EV1743" s="1"/>
      <c r="EW1743" s="1"/>
      <c r="EX1743" s="1"/>
      <c r="EY1743" s="1"/>
      <c r="EZ1743" s="1"/>
      <c r="FA1743" s="1"/>
      <c r="FB1743" s="1"/>
      <c r="FC1743" s="1"/>
      <c r="FD1743" s="1"/>
      <c r="FE1743" s="1"/>
      <c r="FF1743" s="1"/>
      <c r="FG1743" s="1"/>
      <c r="FH1743" s="1"/>
      <c r="FI1743" s="1"/>
      <c r="FJ1743" s="1"/>
      <c r="FK1743" s="1"/>
      <c r="FL1743" s="1"/>
      <c r="FM1743" s="1"/>
      <c r="FN1743" s="1"/>
      <c r="FO1743" s="1"/>
      <c r="FP1743" s="1"/>
      <c r="FQ1743" s="1"/>
      <c r="FR1743" s="1"/>
      <c r="FS1743" s="1"/>
      <c r="FT1743" s="1"/>
      <c r="FU1743" s="1"/>
      <c r="FV1743" s="1"/>
      <c r="FW1743" s="1"/>
      <c r="FX1743" s="1"/>
      <c r="FY1743" s="1"/>
      <c r="FZ1743" s="1"/>
      <c r="GA1743" s="1"/>
      <c r="GB1743" s="1"/>
      <c r="GC1743" s="1"/>
      <c r="GD1743" s="1"/>
      <c r="GE1743" s="1"/>
      <c r="GF1743" s="1"/>
      <c r="GG1743" s="1"/>
      <c r="GH1743" s="1"/>
      <c r="GI1743" s="1"/>
      <c r="GJ1743" s="1"/>
      <c r="GK1743" s="1"/>
      <c r="GL1743" s="1"/>
      <c r="GM1743" s="1"/>
      <c r="GN1743" s="1"/>
      <c r="GO1743" s="1"/>
      <c r="GP1743" s="1"/>
      <c r="GQ1743" s="1"/>
      <c r="GR1743" s="1"/>
      <c r="GS1743" s="1"/>
      <c r="GT1743" s="1"/>
      <c r="GU1743" s="1"/>
      <c r="GV1743" s="1"/>
      <c r="GW1743" s="1"/>
      <c r="GX1743" s="1"/>
      <c r="GY1743" s="1"/>
      <c r="GZ1743" s="1"/>
      <c r="HA1743" s="1"/>
      <c r="HB1743" s="1"/>
      <c r="HC1743" s="1"/>
      <c r="HD1743" s="1"/>
      <c r="HE1743" s="1"/>
      <c r="HF1743" s="1"/>
      <c r="HG1743" s="1"/>
      <c r="HH1743" s="1"/>
    </row>
    <row r="1744" spans="1:216" x14ac:dyDescent="0.3">
      <c r="A1744" s="3"/>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c r="EF1744" s="1"/>
      <c r="EG1744" s="1"/>
      <c r="EH1744" s="1"/>
      <c r="EI1744" s="1"/>
      <c r="EJ1744" s="1"/>
      <c r="EK1744" s="1"/>
      <c r="EL1744" s="1"/>
      <c r="EM1744" s="1"/>
      <c r="EN1744" s="1"/>
      <c r="EO1744" s="1"/>
      <c r="EP1744" s="1"/>
      <c r="EQ1744" s="1"/>
      <c r="ER1744" s="1"/>
      <c r="ES1744" s="1"/>
      <c r="ET1744" s="1"/>
      <c r="EU1744" s="1"/>
      <c r="EV1744" s="1"/>
      <c r="EW1744" s="1"/>
      <c r="EX1744" s="1"/>
      <c r="EY1744" s="1"/>
      <c r="EZ1744" s="1"/>
      <c r="FA1744" s="1"/>
      <c r="FB1744" s="1"/>
      <c r="FC1744" s="1"/>
      <c r="FD1744" s="1"/>
      <c r="FE1744" s="1"/>
      <c r="FF1744" s="1"/>
      <c r="FG1744" s="1"/>
      <c r="FH1744" s="1"/>
      <c r="FI1744" s="1"/>
      <c r="FJ1744" s="1"/>
      <c r="FK1744" s="1"/>
      <c r="FL1744" s="1"/>
      <c r="FM1744" s="1"/>
      <c r="FN1744" s="1"/>
      <c r="FO1744" s="1"/>
      <c r="FP1744" s="1"/>
      <c r="FQ1744" s="1"/>
      <c r="FR1744" s="1"/>
      <c r="FS1744" s="1"/>
      <c r="FT1744" s="1"/>
      <c r="FU1744" s="1"/>
      <c r="FV1744" s="1"/>
      <c r="FW1744" s="1"/>
      <c r="FX1744" s="1"/>
      <c r="FY1744" s="1"/>
      <c r="FZ1744" s="1"/>
      <c r="GA1744" s="1"/>
      <c r="GB1744" s="1"/>
      <c r="GC1744" s="1"/>
      <c r="GD1744" s="1"/>
      <c r="GE1744" s="1"/>
      <c r="GF1744" s="1"/>
      <c r="GG1744" s="1"/>
      <c r="GH1744" s="1"/>
      <c r="GI1744" s="1"/>
      <c r="GJ1744" s="1"/>
      <c r="GK1744" s="1"/>
      <c r="GL1744" s="1"/>
      <c r="GM1744" s="1"/>
      <c r="GN1744" s="1"/>
      <c r="GO1744" s="1"/>
      <c r="GP1744" s="1"/>
      <c r="GQ1744" s="1"/>
      <c r="GR1744" s="1"/>
      <c r="GS1744" s="1"/>
      <c r="GT1744" s="1"/>
      <c r="GU1744" s="1"/>
      <c r="GV1744" s="1"/>
      <c r="GW1744" s="1"/>
      <c r="GX1744" s="1"/>
      <c r="GY1744" s="1"/>
      <c r="GZ1744" s="1"/>
      <c r="HA1744" s="1"/>
      <c r="HB1744" s="1"/>
      <c r="HC1744" s="1"/>
      <c r="HD1744" s="1"/>
      <c r="HE1744" s="1"/>
      <c r="HF1744" s="1"/>
      <c r="HG1744" s="1"/>
      <c r="HH1744" s="1"/>
    </row>
    <row r="1745" spans="1:216" x14ac:dyDescent="0.3">
      <c r="A1745" s="3"/>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c r="EF1745" s="1"/>
      <c r="EG1745" s="1"/>
      <c r="EH1745" s="1"/>
      <c r="EI1745" s="1"/>
      <c r="EJ1745" s="1"/>
      <c r="EK1745" s="1"/>
      <c r="EL1745" s="1"/>
      <c r="EM1745" s="1"/>
      <c r="EN1745" s="1"/>
      <c r="EO1745" s="1"/>
      <c r="EP1745" s="1"/>
      <c r="EQ1745" s="1"/>
      <c r="ER1745" s="1"/>
      <c r="ES1745" s="1"/>
      <c r="ET1745" s="1"/>
      <c r="EU1745" s="1"/>
      <c r="EV1745" s="1"/>
      <c r="EW1745" s="1"/>
      <c r="EX1745" s="1"/>
      <c r="EY1745" s="1"/>
      <c r="EZ1745" s="1"/>
      <c r="FA1745" s="1"/>
      <c r="FB1745" s="1"/>
      <c r="FC1745" s="1"/>
      <c r="FD1745" s="1"/>
      <c r="FE1745" s="1"/>
      <c r="FF1745" s="1"/>
      <c r="FG1745" s="1"/>
      <c r="FH1745" s="1"/>
      <c r="FI1745" s="1"/>
      <c r="FJ1745" s="1"/>
      <c r="FK1745" s="1"/>
      <c r="FL1745" s="1"/>
      <c r="FM1745" s="1"/>
      <c r="FN1745" s="1"/>
      <c r="FO1745" s="1"/>
      <c r="FP1745" s="1"/>
      <c r="FQ1745" s="1"/>
      <c r="FR1745" s="1"/>
      <c r="FS1745" s="1"/>
      <c r="FT1745" s="1"/>
      <c r="FU1745" s="1"/>
      <c r="FV1745" s="1"/>
      <c r="FW1745" s="1"/>
      <c r="FX1745" s="1"/>
      <c r="FY1745" s="1"/>
      <c r="FZ1745" s="1"/>
      <c r="GA1745" s="1"/>
      <c r="GB1745" s="1"/>
      <c r="GC1745" s="1"/>
      <c r="GD1745" s="1"/>
      <c r="GE1745" s="1"/>
      <c r="GF1745" s="1"/>
      <c r="GG1745" s="1"/>
      <c r="GH1745" s="1"/>
      <c r="GI1745" s="1"/>
      <c r="GJ1745" s="1"/>
      <c r="GK1745" s="1"/>
      <c r="GL1745" s="1"/>
      <c r="GM1745" s="1"/>
      <c r="GN1745" s="1"/>
      <c r="GO1745" s="1"/>
      <c r="GP1745" s="1"/>
      <c r="GQ1745" s="1"/>
      <c r="GR1745" s="1"/>
      <c r="GS1745" s="1"/>
      <c r="GT1745" s="1"/>
      <c r="GU1745" s="1"/>
      <c r="GV1745" s="1"/>
      <c r="GW1745" s="1"/>
      <c r="GX1745" s="1"/>
      <c r="GY1745" s="1"/>
      <c r="GZ1745" s="1"/>
      <c r="HA1745" s="1"/>
      <c r="HB1745" s="1"/>
      <c r="HC1745" s="1"/>
      <c r="HD1745" s="1"/>
      <c r="HE1745" s="1"/>
      <c r="HF1745" s="1"/>
      <c r="HG1745" s="1"/>
      <c r="HH1745" s="1"/>
    </row>
    <row r="1746" spans="1:216" x14ac:dyDescent="0.3">
      <c r="A1746" s="3"/>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c r="EF1746" s="1"/>
      <c r="EG1746" s="1"/>
      <c r="EH1746" s="1"/>
      <c r="EI1746" s="1"/>
      <c r="EJ1746" s="1"/>
      <c r="EK1746" s="1"/>
      <c r="EL1746" s="1"/>
      <c r="EM1746" s="1"/>
      <c r="EN1746" s="1"/>
      <c r="EO1746" s="1"/>
      <c r="EP1746" s="1"/>
      <c r="EQ1746" s="1"/>
      <c r="ER1746" s="1"/>
      <c r="ES1746" s="1"/>
      <c r="ET1746" s="1"/>
      <c r="EU1746" s="1"/>
      <c r="EV1746" s="1"/>
      <c r="EW1746" s="1"/>
      <c r="EX1746" s="1"/>
      <c r="EY1746" s="1"/>
      <c r="EZ1746" s="1"/>
      <c r="FA1746" s="1"/>
      <c r="FB1746" s="1"/>
      <c r="FC1746" s="1"/>
      <c r="FD1746" s="1"/>
      <c r="FE1746" s="1"/>
      <c r="FF1746" s="1"/>
      <c r="FG1746" s="1"/>
      <c r="FH1746" s="1"/>
      <c r="FI1746" s="1"/>
      <c r="FJ1746" s="1"/>
      <c r="FK1746" s="1"/>
      <c r="FL1746" s="1"/>
      <c r="FM1746" s="1"/>
      <c r="FN1746" s="1"/>
      <c r="FO1746" s="1"/>
      <c r="FP1746" s="1"/>
      <c r="FQ1746" s="1"/>
      <c r="FR1746" s="1"/>
      <c r="FS1746" s="1"/>
      <c r="FT1746" s="1"/>
      <c r="FU1746" s="1"/>
      <c r="FV1746" s="1"/>
      <c r="FW1746" s="1"/>
      <c r="FX1746" s="1"/>
      <c r="FY1746" s="1"/>
      <c r="FZ1746" s="1"/>
      <c r="GA1746" s="1"/>
      <c r="GB1746" s="1"/>
      <c r="GC1746" s="1"/>
      <c r="GD1746" s="1"/>
      <c r="GE1746" s="1"/>
      <c r="GF1746" s="1"/>
      <c r="GG1746" s="1"/>
      <c r="GH1746" s="1"/>
      <c r="GI1746" s="1"/>
      <c r="GJ1746" s="1"/>
      <c r="GK1746" s="1"/>
      <c r="GL1746" s="1"/>
      <c r="GM1746" s="1"/>
      <c r="GN1746" s="1"/>
      <c r="GO1746" s="1"/>
      <c r="GP1746" s="1"/>
      <c r="GQ1746" s="1"/>
      <c r="GR1746" s="1"/>
      <c r="GS1746" s="1"/>
      <c r="GT1746" s="1"/>
      <c r="GU1746" s="1"/>
      <c r="GV1746" s="1"/>
      <c r="GW1746" s="1"/>
      <c r="GX1746" s="1"/>
      <c r="GY1746" s="1"/>
      <c r="GZ1746" s="1"/>
      <c r="HA1746" s="1"/>
      <c r="HB1746" s="1"/>
      <c r="HC1746" s="1"/>
      <c r="HD1746" s="1"/>
      <c r="HE1746" s="1"/>
      <c r="HF1746" s="1"/>
      <c r="HG1746" s="1"/>
      <c r="HH1746" s="1"/>
    </row>
    <row r="1747" spans="1:216" x14ac:dyDescent="0.3">
      <c r="A1747" s="3"/>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c r="EF1747" s="1"/>
      <c r="EG1747" s="1"/>
      <c r="EH1747" s="1"/>
      <c r="EI1747" s="1"/>
      <c r="EJ1747" s="1"/>
      <c r="EK1747" s="1"/>
      <c r="EL1747" s="1"/>
      <c r="EM1747" s="1"/>
      <c r="EN1747" s="1"/>
      <c r="EO1747" s="1"/>
      <c r="EP1747" s="1"/>
      <c r="EQ1747" s="1"/>
      <c r="ER1747" s="1"/>
      <c r="ES1747" s="1"/>
      <c r="ET1747" s="1"/>
      <c r="EU1747" s="1"/>
      <c r="EV1747" s="1"/>
      <c r="EW1747" s="1"/>
      <c r="EX1747" s="1"/>
      <c r="EY1747" s="1"/>
      <c r="EZ1747" s="1"/>
      <c r="FA1747" s="1"/>
      <c r="FB1747" s="1"/>
      <c r="FC1747" s="1"/>
      <c r="FD1747" s="1"/>
      <c r="FE1747" s="1"/>
      <c r="FF1747" s="1"/>
      <c r="FG1747" s="1"/>
      <c r="FH1747" s="1"/>
      <c r="FI1747" s="1"/>
      <c r="FJ1747" s="1"/>
      <c r="FK1747" s="1"/>
      <c r="FL1747" s="1"/>
      <c r="FM1747" s="1"/>
      <c r="FN1747" s="1"/>
      <c r="FO1747" s="1"/>
      <c r="FP1747" s="1"/>
      <c r="FQ1747" s="1"/>
      <c r="FR1747" s="1"/>
      <c r="FS1747" s="1"/>
      <c r="FT1747" s="1"/>
      <c r="FU1747" s="1"/>
      <c r="FV1747" s="1"/>
      <c r="FW1747" s="1"/>
      <c r="FX1747" s="1"/>
      <c r="FY1747" s="1"/>
      <c r="FZ1747" s="1"/>
      <c r="GA1747" s="1"/>
      <c r="GB1747" s="1"/>
      <c r="GC1747" s="1"/>
      <c r="GD1747" s="1"/>
      <c r="GE1747" s="1"/>
      <c r="GF1747" s="1"/>
      <c r="GG1747" s="1"/>
      <c r="GH1747" s="1"/>
      <c r="GI1747" s="1"/>
      <c r="GJ1747" s="1"/>
      <c r="GK1747" s="1"/>
      <c r="GL1747" s="1"/>
      <c r="GM1747" s="1"/>
      <c r="GN1747" s="1"/>
      <c r="GO1747" s="1"/>
      <c r="GP1747" s="1"/>
      <c r="GQ1747" s="1"/>
      <c r="GR1747" s="1"/>
      <c r="GS1747" s="1"/>
      <c r="GT1747" s="1"/>
      <c r="GU1747" s="1"/>
      <c r="GV1747" s="1"/>
      <c r="GW1747" s="1"/>
      <c r="GX1747" s="1"/>
      <c r="GY1747" s="1"/>
      <c r="GZ1747" s="1"/>
      <c r="HA1747" s="1"/>
      <c r="HB1747" s="1"/>
      <c r="HC1747" s="1"/>
      <c r="HD1747" s="1"/>
      <c r="HE1747" s="1"/>
      <c r="HF1747" s="1"/>
      <c r="HG1747" s="1"/>
      <c r="HH1747" s="1"/>
    </row>
    <row r="1748" spans="1:216" x14ac:dyDescent="0.3">
      <c r="A1748" s="3"/>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c r="EF1748" s="1"/>
      <c r="EG1748" s="1"/>
      <c r="EH1748" s="1"/>
      <c r="EI1748" s="1"/>
      <c r="EJ1748" s="1"/>
      <c r="EK1748" s="1"/>
      <c r="EL1748" s="1"/>
      <c r="EM1748" s="1"/>
      <c r="EN1748" s="1"/>
      <c r="EO1748" s="1"/>
      <c r="EP1748" s="1"/>
      <c r="EQ1748" s="1"/>
      <c r="ER1748" s="1"/>
      <c r="ES1748" s="1"/>
      <c r="ET1748" s="1"/>
      <c r="EU1748" s="1"/>
      <c r="EV1748" s="1"/>
      <c r="EW1748" s="1"/>
      <c r="EX1748" s="1"/>
      <c r="EY1748" s="1"/>
      <c r="EZ1748" s="1"/>
      <c r="FA1748" s="1"/>
      <c r="FB1748" s="1"/>
      <c r="FC1748" s="1"/>
      <c r="FD1748" s="1"/>
      <c r="FE1748" s="1"/>
      <c r="FF1748" s="1"/>
      <c r="FG1748" s="1"/>
      <c r="FH1748" s="1"/>
      <c r="FI1748" s="1"/>
      <c r="FJ1748" s="1"/>
      <c r="FK1748" s="1"/>
      <c r="FL1748" s="1"/>
      <c r="FM1748" s="1"/>
      <c r="FN1748" s="1"/>
      <c r="FO1748" s="1"/>
      <c r="FP1748" s="1"/>
      <c r="FQ1748" s="1"/>
      <c r="FR1748" s="1"/>
      <c r="FS1748" s="1"/>
      <c r="FT1748" s="1"/>
      <c r="FU1748" s="1"/>
      <c r="FV1748" s="1"/>
      <c r="FW1748" s="1"/>
      <c r="FX1748" s="1"/>
      <c r="FY1748" s="1"/>
      <c r="FZ1748" s="1"/>
      <c r="GA1748" s="1"/>
      <c r="GB1748" s="1"/>
      <c r="GC1748" s="1"/>
      <c r="GD1748" s="1"/>
      <c r="GE1748" s="1"/>
      <c r="GF1748" s="1"/>
      <c r="GG1748" s="1"/>
      <c r="GH1748" s="1"/>
      <c r="GI1748" s="1"/>
      <c r="GJ1748" s="1"/>
      <c r="GK1748" s="1"/>
      <c r="GL1748" s="1"/>
      <c r="GM1748" s="1"/>
      <c r="GN1748" s="1"/>
      <c r="GO1748" s="1"/>
      <c r="GP1748" s="1"/>
      <c r="GQ1748" s="1"/>
      <c r="GR1748" s="1"/>
      <c r="GS1748" s="1"/>
      <c r="GT1748" s="1"/>
      <c r="GU1748" s="1"/>
      <c r="GV1748" s="1"/>
      <c r="GW1748" s="1"/>
      <c r="GX1748" s="1"/>
      <c r="GY1748" s="1"/>
      <c r="GZ1748" s="1"/>
      <c r="HA1748" s="1"/>
      <c r="HB1748" s="1"/>
      <c r="HC1748" s="1"/>
      <c r="HD1748" s="1"/>
      <c r="HE1748" s="1"/>
      <c r="HF1748" s="1"/>
      <c r="HG1748" s="1"/>
      <c r="HH1748" s="1"/>
    </row>
    <row r="1749" spans="1:216" x14ac:dyDescent="0.3">
      <c r="A1749" s="3"/>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c r="EF1749" s="1"/>
      <c r="EG1749" s="1"/>
      <c r="EH1749" s="1"/>
      <c r="EI1749" s="1"/>
      <c r="EJ1749" s="1"/>
      <c r="EK1749" s="1"/>
      <c r="EL1749" s="1"/>
      <c r="EM1749" s="1"/>
      <c r="EN1749" s="1"/>
      <c r="EO1749" s="1"/>
      <c r="EP1749" s="1"/>
      <c r="EQ1749" s="1"/>
      <c r="ER1749" s="1"/>
      <c r="ES1749" s="1"/>
      <c r="ET1749" s="1"/>
      <c r="EU1749" s="1"/>
      <c r="EV1749" s="1"/>
      <c r="EW1749" s="1"/>
      <c r="EX1749" s="1"/>
      <c r="EY1749" s="1"/>
      <c r="EZ1749" s="1"/>
      <c r="FA1749" s="1"/>
      <c r="FB1749" s="1"/>
      <c r="FC1749" s="1"/>
      <c r="FD1749" s="1"/>
      <c r="FE1749" s="1"/>
      <c r="FF1749" s="1"/>
      <c r="FG1749" s="1"/>
      <c r="FH1749" s="1"/>
      <c r="FI1749" s="1"/>
      <c r="FJ1749" s="1"/>
      <c r="FK1749" s="1"/>
      <c r="FL1749" s="1"/>
      <c r="FM1749" s="1"/>
      <c r="FN1749" s="1"/>
      <c r="FO1749" s="1"/>
      <c r="FP1749" s="1"/>
      <c r="FQ1749" s="1"/>
      <c r="FR1749" s="1"/>
      <c r="FS1749" s="1"/>
      <c r="FT1749" s="1"/>
      <c r="FU1749" s="1"/>
      <c r="FV1749" s="1"/>
      <c r="FW1749" s="1"/>
      <c r="FX1749" s="1"/>
      <c r="FY1749" s="1"/>
      <c r="FZ1749" s="1"/>
      <c r="GA1749" s="1"/>
      <c r="GB1749" s="1"/>
      <c r="GC1749" s="1"/>
      <c r="GD1749" s="1"/>
      <c r="GE1749" s="1"/>
      <c r="GF1749" s="1"/>
      <c r="GG1749" s="1"/>
      <c r="GH1749" s="1"/>
      <c r="GI1749" s="1"/>
      <c r="GJ1749" s="1"/>
      <c r="GK1749" s="1"/>
      <c r="GL1749" s="1"/>
      <c r="GM1749" s="1"/>
      <c r="GN1749" s="1"/>
      <c r="GO1749" s="1"/>
      <c r="GP1749" s="1"/>
      <c r="GQ1749" s="1"/>
      <c r="GR1749" s="1"/>
      <c r="GS1749" s="1"/>
      <c r="GT1749" s="1"/>
      <c r="GU1749" s="1"/>
      <c r="GV1749" s="1"/>
      <c r="GW1749" s="1"/>
      <c r="GX1749" s="1"/>
      <c r="GY1749" s="1"/>
      <c r="GZ1749" s="1"/>
      <c r="HA1749" s="1"/>
      <c r="HB1749" s="1"/>
      <c r="HC1749" s="1"/>
      <c r="HD1749" s="1"/>
      <c r="HE1749" s="1"/>
      <c r="HF1749" s="1"/>
      <c r="HG1749" s="1"/>
      <c r="HH1749" s="1"/>
    </row>
    <row r="1750" spans="1:216" x14ac:dyDescent="0.3">
      <c r="A1750" s="3"/>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c r="EF1750" s="1"/>
      <c r="EG1750" s="1"/>
      <c r="EH1750" s="1"/>
      <c r="EI1750" s="1"/>
      <c r="EJ1750" s="1"/>
      <c r="EK1750" s="1"/>
      <c r="EL1750" s="1"/>
      <c r="EM1750" s="1"/>
      <c r="EN1750" s="1"/>
      <c r="EO1750" s="1"/>
      <c r="EP1750" s="1"/>
      <c r="EQ1750" s="1"/>
      <c r="ER1750" s="1"/>
      <c r="ES1750" s="1"/>
      <c r="ET1750" s="1"/>
      <c r="EU1750" s="1"/>
      <c r="EV1750" s="1"/>
      <c r="EW1750" s="1"/>
      <c r="EX1750" s="1"/>
      <c r="EY1750" s="1"/>
      <c r="EZ1750" s="1"/>
      <c r="FA1750" s="1"/>
      <c r="FB1750" s="1"/>
      <c r="FC1750" s="1"/>
      <c r="FD1750" s="1"/>
      <c r="FE1750" s="1"/>
      <c r="FF1750" s="1"/>
      <c r="FG1750" s="1"/>
      <c r="FH1750" s="1"/>
      <c r="FI1750" s="1"/>
      <c r="FJ1750" s="1"/>
      <c r="FK1750" s="1"/>
      <c r="FL1750" s="1"/>
      <c r="FM1750" s="1"/>
      <c r="FN1750" s="1"/>
      <c r="FO1750" s="1"/>
      <c r="FP1750" s="1"/>
      <c r="FQ1750" s="1"/>
      <c r="FR1750" s="1"/>
      <c r="FS1750" s="1"/>
      <c r="FT1750" s="1"/>
      <c r="FU1750" s="1"/>
      <c r="FV1750" s="1"/>
      <c r="FW1750" s="1"/>
      <c r="FX1750" s="1"/>
      <c r="FY1750" s="1"/>
      <c r="FZ1750" s="1"/>
      <c r="GA1750" s="1"/>
      <c r="GB1750" s="1"/>
      <c r="GC1750" s="1"/>
      <c r="GD1750" s="1"/>
      <c r="GE1750" s="1"/>
      <c r="GF1750" s="1"/>
      <c r="GG1750" s="1"/>
      <c r="GH1750" s="1"/>
      <c r="GI1750" s="1"/>
      <c r="GJ1750" s="1"/>
      <c r="GK1750" s="1"/>
      <c r="GL1750" s="1"/>
      <c r="GM1750" s="1"/>
      <c r="GN1750" s="1"/>
      <c r="GO1750" s="1"/>
      <c r="GP1750" s="1"/>
      <c r="GQ1750" s="1"/>
      <c r="GR1750" s="1"/>
      <c r="GS1750" s="1"/>
      <c r="GT1750" s="1"/>
      <c r="GU1750" s="1"/>
      <c r="GV1750" s="1"/>
      <c r="GW1750" s="1"/>
      <c r="GX1750" s="1"/>
      <c r="GY1750" s="1"/>
      <c r="GZ1750" s="1"/>
      <c r="HA1750" s="1"/>
      <c r="HB1750" s="1"/>
      <c r="HC1750" s="1"/>
      <c r="HD1750" s="1"/>
      <c r="HE1750" s="1"/>
      <c r="HF1750" s="1"/>
      <c r="HG1750" s="1"/>
      <c r="HH1750" s="1"/>
    </row>
    <row r="1751" spans="1:216" x14ac:dyDescent="0.3">
      <c r="A1751" s="3"/>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c r="EF1751" s="1"/>
      <c r="EG1751" s="1"/>
      <c r="EH1751" s="1"/>
      <c r="EI1751" s="1"/>
      <c r="EJ1751" s="1"/>
      <c r="EK1751" s="1"/>
      <c r="EL1751" s="1"/>
      <c r="EM1751" s="1"/>
      <c r="EN1751" s="1"/>
      <c r="EO1751" s="1"/>
      <c r="EP1751" s="1"/>
      <c r="EQ1751" s="1"/>
      <c r="ER1751" s="1"/>
      <c r="ES1751" s="1"/>
      <c r="ET1751" s="1"/>
      <c r="EU1751" s="1"/>
      <c r="EV1751" s="1"/>
      <c r="EW1751" s="1"/>
      <c r="EX1751" s="1"/>
      <c r="EY1751" s="1"/>
      <c r="EZ1751" s="1"/>
      <c r="FA1751" s="1"/>
      <c r="FB1751" s="1"/>
      <c r="FC1751" s="1"/>
      <c r="FD1751" s="1"/>
      <c r="FE1751" s="1"/>
      <c r="FF1751" s="1"/>
      <c r="FG1751" s="1"/>
      <c r="FH1751" s="1"/>
      <c r="FI1751" s="1"/>
      <c r="FJ1751" s="1"/>
      <c r="FK1751" s="1"/>
      <c r="FL1751" s="1"/>
      <c r="FM1751" s="1"/>
      <c r="FN1751" s="1"/>
      <c r="FO1751" s="1"/>
      <c r="FP1751" s="1"/>
      <c r="FQ1751" s="1"/>
      <c r="FR1751" s="1"/>
      <c r="FS1751" s="1"/>
      <c r="FT1751" s="1"/>
      <c r="FU1751" s="1"/>
      <c r="FV1751" s="1"/>
      <c r="FW1751" s="1"/>
      <c r="FX1751" s="1"/>
      <c r="FY1751" s="1"/>
      <c r="FZ1751" s="1"/>
      <c r="GA1751" s="1"/>
      <c r="GB1751" s="1"/>
      <c r="GC1751" s="1"/>
      <c r="GD1751" s="1"/>
      <c r="GE1751" s="1"/>
      <c r="GF1751" s="1"/>
      <c r="GG1751" s="1"/>
      <c r="GH1751" s="1"/>
      <c r="GI1751" s="1"/>
      <c r="GJ1751" s="1"/>
      <c r="GK1751" s="1"/>
      <c r="GL1751" s="1"/>
      <c r="GM1751" s="1"/>
      <c r="GN1751" s="1"/>
      <c r="GO1751" s="1"/>
      <c r="GP1751" s="1"/>
      <c r="GQ1751" s="1"/>
      <c r="GR1751" s="1"/>
      <c r="GS1751" s="1"/>
      <c r="GT1751" s="1"/>
      <c r="GU1751" s="1"/>
      <c r="GV1751" s="1"/>
      <c r="GW1751" s="1"/>
      <c r="GX1751" s="1"/>
      <c r="GY1751" s="1"/>
      <c r="GZ1751" s="1"/>
      <c r="HA1751" s="1"/>
      <c r="HB1751" s="1"/>
      <c r="HC1751" s="1"/>
      <c r="HD1751" s="1"/>
      <c r="HE1751" s="1"/>
      <c r="HF1751" s="1"/>
      <c r="HG1751" s="1"/>
      <c r="HH1751" s="1"/>
    </row>
    <row r="1752" spans="1:216" x14ac:dyDescent="0.3">
      <c r="A1752" s="3"/>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c r="EF1752" s="1"/>
      <c r="EG1752" s="1"/>
      <c r="EH1752" s="1"/>
      <c r="EI1752" s="1"/>
      <c r="EJ1752" s="1"/>
      <c r="EK1752" s="1"/>
      <c r="EL1752" s="1"/>
      <c r="EM1752" s="1"/>
      <c r="EN1752" s="1"/>
      <c r="EO1752" s="1"/>
      <c r="EP1752" s="1"/>
      <c r="EQ1752" s="1"/>
      <c r="ER1752" s="1"/>
      <c r="ES1752" s="1"/>
      <c r="ET1752" s="1"/>
      <c r="EU1752" s="1"/>
      <c r="EV1752" s="1"/>
      <c r="EW1752" s="1"/>
      <c r="EX1752" s="1"/>
      <c r="EY1752" s="1"/>
      <c r="EZ1752" s="1"/>
      <c r="FA1752" s="1"/>
      <c r="FB1752" s="1"/>
      <c r="FC1752" s="1"/>
      <c r="FD1752" s="1"/>
      <c r="FE1752" s="1"/>
      <c r="FF1752" s="1"/>
      <c r="FG1752" s="1"/>
      <c r="FH1752" s="1"/>
      <c r="FI1752" s="1"/>
      <c r="FJ1752" s="1"/>
      <c r="FK1752" s="1"/>
      <c r="FL1752" s="1"/>
      <c r="FM1752" s="1"/>
      <c r="FN1752" s="1"/>
      <c r="FO1752" s="1"/>
      <c r="FP1752" s="1"/>
      <c r="FQ1752" s="1"/>
      <c r="FR1752" s="1"/>
      <c r="FS1752" s="1"/>
      <c r="FT1752" s="1"/>
      <c r="FU1752" s="1"/>
      <c r="FV1752" s="1"/>
      <c r="FW1752" s="1"/>
      <c r="FX1752" s="1"/>
      <c r="FY1752" s="1"/>
      <c r="FZ1752" s="1"/>
      <c r="GA1752" s="1"/>
      <c r="GB1752" s="1"/>
      <c r="GC1752" s="1"/>
      <c r="GD1752" s="1"/>
      <c r="GE1752" s="1"/>
      <c r="GF1752" s="1"/>
      <c r="GG1752" s="1"/>
      <c r="GH1752" s="1"/>
      <c r="GI1752" s="1"/>
      <c r="GJ1752" s="1"/>
      <c r="GK1752" s="1"/>
      <c r="GL1752" s="1"/>
      <c r="GM1752" s="1"/>
      <c r="GN1752" s="1"/>
      <c r="GO1752" s="1"/>
      <c r="GP1752" s="1"/>
      <c r="GQ1752" s="1"/>
      <c r="GR1752" s="1"/>
      <c r="GS1752" s="1"/>
      <c r="GT1752" s="1"/>
      <c r="GU1752" s="1"/>
      <c r="GV1752" s="1"/>
      <c r="GW1752" s="1"/>
      <c r="GX1752" s="1"/>
      <c r="GY1752" s="1"/>
      <c r="GZ1752" s="1"/>
      <c r="HA1752" s="1"/>
      <c r="HB1752" s="1"/>
      <c r="HC1752" s="1"/>
      <c r="HD1752" s="1"/>
      <c r="HE1752" s="1"/>
      <c r="HF1752" s="1"/>
      <c r="HG1752" s="1"/>
      <c r="HH1752" s="1"/>
    </row>
    <row r="1753" spans="1:216" x14ac:dyDescent="0.3">
      <c r="A1753" s="3"/>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c r="EF1753" s="1"/>
      <c r="EG1753" s="1"/>
      <c r="EH1753" s="1"/>
      <c r="EI1753" s="1"/>
      <c r="EJ1753" s="1"/>
      <c r="EK1753" s="1"/>
      <c r="EL1753" s="1"/>
      <c r="EM1753" s="1"/>
      <c r="EN1753" s="1"/>
      <c r="EO1753" s="1"/>
      <c r="EP1753" s="1"/>
      <c r="EQ1753" s="1"/>
      <c r="ER1753" s="1"/>
      <c r="ES1753" s="1"/>
      <c r="ET1753" s="1"/>
      <c r="EU1753" s="1"/>
      <c r="EV1753" s="1"/>
      <c r="EW1753" s="1"/>
      <c r="EX1753" s="1"/>
      <c r="EY1753" s="1"/>
      <c r="EZ1753" s="1"/>
      <c r="FA1753" s="1"/>
      <c r="FB1753" s="1"/>
      <c r="FC1753" s="1"/>
      <c r="FD1753" s="1"/>
      <c r="FE1753" s="1"/>
      <c r="FF1753" s="1"/>
      <c r="FG1753" s="1"/>
      <c r="FH1753" s="1"/>
      <c r="FI1753" s="1"/>
      <c r="FJ1753" s="1"/>
      <c r="FK1753" s="1"/>
      <c r="FL1753" s="1"/>
      <c r="FM1753" s="1"/>
      <c r="FN1753" s="1"/>
      <c r="FO1753" s="1"/>
      <c r="FP1753" s="1"/>
      <c r="FQ1753" s="1"/>
      <c r="FR1753" s="1"/>
      <c r="FS1753" s="1"/>
      <c r="FT1753" s="1"/>
      <c r="FU1753" s="1"/>
      <c r="FV1753" s="1"/>
      <c r="FW1753" s="1"/>
      <c r="FX1753" s="1"/>
      <c r="FY1753" s="1"/>
      <c r="FZ1753" s="1"/>
      <c r="GA1753" s="1"/>
      <c r="GB1753" s="1"/>
      <c r="GC1753" s="1"/>
      <c r="GD1753" s="1"/>
      <c r="GE1753" s="1"/>
      <c r="GF1753" s="1"/>
      <c r="GG1753" s="1"/>
      <c r="GH1753" s="1"/>
      <c r="GI1753" s="1"/>
      <c r="GJ1753" s="1"/>
      <c r="GK1753" s="1"/>
      <c r="GL1753" s="1"/>
      <c r="GM1753" s="1"/>
      <c r="GN1753" s="1"/>
      <c r="GO1753" s="1"/>
      <c r="GP1753" s="1"/>
      <c r="GQ1753" s="1"/>
      <c r="GR1753" s="1"/>
      <c r="GS1753" s="1"/>
      <c r="GT1753" s="1"/>
      <c r="GU1753" s="1"/>
      <c r="GV1753" s="1"/>
      <c r="GW1753" s="1"/>
      <c r="GX1753" s="1"/>
      <c r="GY1753" s="1"/>
      <c r="GZ1753" s="1"/>
      <c r="HA1753" s="1"/>
      <c r="HB1753" s="1"/>
      <c r="HC1753" s="1"/>
      <c r="HD1753" s="1"/>
      <c r="HE1753" s="1"/>
      <c r="HF1753" s="1"/>
      <c r="HG1753" s="1"/>
      <c r="HH1753" s="1"/>
    </row>
    <row r="1754" spans="1:216" x14ac:dyDescent="0.3">
      <c r="A1754" s="3"/>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c r="EF1754" s="1"/>
      <c r="EG1754" s="1"/>
      <c r="EH1754" s="1"/>
      <c r="EI1754" s="1"/>
      <c r="EJ1754" s="1"/>
      <c r="EK1754" s="1"/>
      <c r="EL1754" s="1"/>
      <c r="EM1754" s="1"/>
      <c r="EN1754" s="1"/>
      <c r="EO1754" s="1"/>
      <c r="EP1754" s="1"/>
      <c r="EQ1754" s="1"/>
      <c r="ER1754" s="1"/>
      <c r="ES1754" s="1"/>
      <c r="ET1754" s="1"/>
      <c r="EU1754" s="1"/>
      <c r="EV1754" s="1"/>
      <c r="EW1754" s="1"/>
      <c r="EX1754" s="1"/>
      <c r="EY1754" s="1"/>
      <c r="EZ1754" s="1"/>
      <c r="FA1754" s="1"/>
      <c r="FB1754" s="1"/>
      <c r="FC1754" s="1"/>
      <c r="FD1754" s="1"/>
      <c r="FE1754" s="1"/>
      <c r="FF1754" s="1"/>
      <c r="FG1754" s="1"/>
      <c r="FH1754" s="1"/>
      <c r="FI1754" s="1"/>
      <c r="FJ1754" s="1"/>
      <c r="FK1754" s="1"/>
      <c r="FL1754" s="1"/>
      <c r="FM1754" s="1"/>
      <c r="FN1754" s="1"/>
      <c r="FO1754" s="1"/>
      <c r="FP1754" s="1"/>
      <c r="FQ1754" s="1"/>
      <c r="FR1754" s="1"/>
      <c r="FS1754" s="1"/>
      <c r="FT1754" s="1"/>
      <c r="FU1754" s="1"/>
      <c r="FV1754" s="1"/>
      <c r="FW1754" s="1"/>
      <c r="FX1754" s="1"/>
      <c r="FY1754" s="1"/>
      <c r="FZ1754" s="1"/>
      <c r="GA1754" s="1"/>
      <c r="GB1754" s="1"/>
      <c r="GC1754" s="1"/>
      <c r="GD1754" s="1"/>
      <c r="GE1754" s="1"/>
      <c r="GF1754" s="1"/>
      <c r="GG1754" s="1"/>
      <c r="GH1754" s="1"/>
      <c r="GI1754" s="1"/>
      <c r="GJ1754" s="1"/>
      <c r="GK1754" s="1"/>
      <c r="GL1754" s="1"/>
      <c r="GM1754" s="1"/>
      <c r="GN1754" s="1"/>
      <c r="GO1754" s="1"/>
      <c r="GP1754" s="1"/>
      <c r="GQ1754" s="1"/>
      <c r="GR1754" s="1"/>
      <c r="GS1754" s="1"/>
      <c r="GT1754" s="1"/>
      <c r="GU1754" s="1"/>
      <c r="GV1754" s="1"/>
      <c r="GW1754" s="1"/>
      <c r="GX1754" s="1"/>
      <c r="GY1754" s="1"/>
      <c r="GZ1754" s="1"/>
      <c r="HA1754" s="1"/>
      <c r="HB1754" s="1"/>
      <c r="HC1754" s="1"/>
      <c r="HD1754" s="1"/>
      <c r="HE1754" s="1"/>
      <c r="HF1754" s="1"/>
      <c r="HG1754" s="1"/>
      <c r="HH1754" s="1"/>
    </row>
    <row r="1755" spans="1:216" x14ac:dyDescent="0.3">
      <c r="A1755" s="3"/>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c r="EF1755" s="1"/>
      <c r="EG1755" s="1"/>
      <c r="EH1755" s="1"/>
      <c r="EI1755" s="1"/>
      <c r="EJ1755" s="1"/>
      <c r="EK1755" s="1"/>
      <c r="EL1755" s="1"/>
      <c r="EM1755" s="1"/>
      <c r="EN1755" s="1"/>
      <c r="EO1755" s="1"/>
      <c r="EP1755" s="1"/>
      <c r="EQ1755" s="1"/>
      <c r="ER1755" s="1"/>
      <c r="ES1755" s="1"/>
      <c r="ET1755" s="1"/>
      <c r="EU1755" s="1"/>
      <c r="EV1755" s="1"/>
      <c r="EW1755" s="1"/>
      <c r="EX1755" s="1"/>
      <c r="EY1755" s="1"/>
      <c r="EZ1755" s="1"/>
      <c r="FA1755" s="1"/>
      <c r="FB1755" s="1"/>
      <c r="FC1755" s="1"/>
      <c r="FD1755" s="1"/>
      <c r="FE1755" s="1"/>
      <c r="FF1755" s="1"/>
      <c r="FG1755" s="1"/>
      <c r="FH1755" s="1"/>
      <c r="FI1755" s="1"/>
      <c r="FJ1755" s="1"/>
      <c r="FK1755" s="1"/>
      <c r="FL1755" s="1"/>
      <c r="FM1755" s="1"/>
      <c r="FN1755" s="1"/>
      <c r="FO1755" s="1"/>
      <c r="FP1755" s="1"/>
      <c r="FQ1755" s="1"/>
      <c r="FR1755" s="1"/>
      <c r="FS1755" s="1"/>
      <c r="FT1755" s="1"/>
      <c r="FU1755" s="1"/>
      <c r="FV1755" s="1"/>
      <c r="FW1755" s="1"/>
      <c r="FX1755" s="1"/>
      <c r="FY1755" s="1"/>
      <c r="FZ1755" s="1"/>
      <c r="GA1755" s="1"/>
      <c r="GB1755" s="1"/>
      <c r="GC1755" s="1"/>
      <c r="GD1755" s="1"/>
      <c r="GE1755" s="1"/>
      <c r="GF1755" s="1"/>
      <c r="GG1755" s="1"/>
      <c r="GH1755" s="1"/>
      <c r="GI1755" s="1"/>
      <c r="GJ1755" s="1"/>
      <c r="GK1755" s="1"/>
      <c r="GL1755" s="1"/>
      <c r="GM1755" s="1"/>
      <c r="GN1755" s="1"/>
      <c r="GO1755" s="1"/>
      <c r="GP1755" s="1"/>
      <c r="GQ1755" s="1"/>
      <c r="GR1755" s="1"/>
      <c r="GS1755" s="1"/>
      <c r="GT1755" s="1"/>
      <c r="GU1755" s="1"/>
      <c r="GV1755" s="1"/>
      <c r="GW1755" s="1"/>
      <c r="GX1755" s="1"/>
      <c r="GY1755" s="1"/>
      <c r="GZ1755" s="1"/>
      <c r="HA1755" s="1"/>
      <c r="HB1755" s="1"/>
      <c r="HC1755" s="1"/>
      <c r="HD1755" s="1"/>
      <c r="HE1755" s="1"/>
      <c r="HF1755" s="1"/>
      <c r="HG1755" s="1"/>
      <c r="HH1755" s="1"/>
    </row>
    <row r="1756" spans="1:216" x14ac:dyDescent="0.3">
      <c r="A1756" s="3"/>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c r="EF1756" s="1"/>
      <c r="EG1756" s="1"/>
      <c r="EH1756" s="1"/>
      <c r="EI1756" s="1"/>
      <c r="EJ1756" s="1"/>
      <c r="EK1756" s="1"/>
      <c r="EL1756" s="1"/>
      <c r="EM1756" s="1"/>
      <c r="EN1756" s="1"/>
      <c r="EO1756" s="1"/>
      <c r="EP1756" s="1"/>
      <c r="EQ1756" s="1"/>
      <c r="ER1756" s="1"/>
      <c r="ES1756" s="1"/>
      <c r="ET1756" s="1"/>
      <c r="EU1756" s="1"/>
      <c r="EV1756" s="1"/>
      <c r="EW1756" s="1"/>
      <c r="EX1756" s="1"/>
      <c r="EY1756" s="1"/>
      <c r="EZ1756" s="1"/>
      <c r="FA1756" s="1"/>
      <c r="FB1756" s="1"/>
      <c r="FC1756" s="1"/>
      <c r="FD1756" s="1"/>
      <c r="FE1756" s="1"/>
      <c r="FF1756" s="1"/>
      <c r="FG1756" s="1"/>
      <c r="FH1756" s="1"/>
      <c r="FI1756" s="1"/>
      <c r="FJ1756" s="1"/>
      <c r="FK1756" s="1"/>
      <c r="FL1756" s="1"/>
      <c r="FM1756" s="1"/>
      <c r="FN1756" s="1"/>
      <c r="FO1756" s="1"/>
      <c r="FP1756" s="1"/>
      <c r="FQ1756" s="1"/>
      <c r="FR1756" s="1"/>
      <c r="FS1756" s="1"/>
      <c r="FT1756" s="1"/>
      <c r="FU1756" s="1"/>
      <c r="FV1756" s="1"/>
      <c r="FW1756" s="1"/>
      <c r="FX1756" s="1"/>
      <c r="FY1756" s="1"/>
      <c r="FZ1756" s="1"/>
      <c r="GA1756" s="1"/>
      <c r="GB1756" s="1"/>
      <c r="GC1756" s="1"/>
      <c r="GD1756" s="1"/>
      <c r="GE1756" s="1"/>
      <c r="GF1756" s="1"/>
      <c r="GG1756" s="1"/>
      <c r="GH1756" s="1"/>
      <c r="GI1756" s="1"/>
      <c r="GJ1756" s="1"/>
      <c r="GK1756" s="1"/>
      <c r="GL1756" s="1"/>
      <c r="GM1756" s="1"/>
      <c r="GN1756" s="1"/>
      <c r="GO1756" s="1"/>
      <c r="GP1756" s="1"/>
      <c r="GQ1756" s="1"/>
      <c r="GR1756" s="1"/>
      <c r="GS1756" s="1"/>
      <c r="GT1756" s="1"/>
      <c r="GU1756" s="1"/>
      <c r="GV1756" s="1"/>
      <c r="GW1756" s="1"/>
      <c r="GX1756" s="1"/>
      <c r="GY1756" s="1"/>
      <c r="GZ1756" s="1"/>
      <c r="HA1756" s="1"/>
      <c r="HB1756" s="1"/>
      <c r="HC1756" s="1"/>
      <c r="HD1756" s="1"/>
      <c r="HE1756" s="1"/>
      <c r="HF1756" s="1"/>
      <c r="HG1756" s="1"/>
      <c r="HH1756" s="1"/>
    </row>
    <row r="1757" spans="1:216" x14ac:dyDescent="0.3">
      <c r="A1757" s="3"/>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c r="DU1757" s="1"/>
      <c r="DV1757" s="1"/>
      <c r="DW1757" s="1"/>
      <c r="DX1757" s="1"/>
      <c r="DY1757" s="1"/>
      <c r="DZ1757" s="1"/>
      <c r="EA1757" s="1"/>
      <c r="EB1757" s="1"/>
      <c r="EC1757" s="1"/>
      <c r="ED1757" s="1"/>
      <c r="EE1757" s="1"/>
      <c r="EF1757" s="1"/>
      <c r="EG1757" s="1"/>
      <c r="EH1757" s="1"/>
      <c r="EI1757" s="1"/>
      <c r="EJ1757" s="1"/>
      <c r="EK1757" s="1"/>
      <c r="EL1757" s="1"/>
      <c r="EM1757" s="1"/>
      <c r="EN1757" s="1"/>
      <c r="EO1757" s="1"/>
      <c r="EP1757" s="1"/>
      <c r="EQ1757" s="1"/>
      <c r="ER1757" s="1"/>
      <c r="ES1757" s="1"/>
      <c r="ET1757" s="1"/>
      <c r="EU1757" s="1"/>
      <c r="EV1757" s="1"/>
      <c r="EW1757" s="1"/>
      <c r="EX1757" s="1"/>
      <c r="EY1757" s="1"/>
      <c r="EZ1757" s="1"/>
      <c r="FA1757" s="1"/>
      <c r="FB1757" s="1"/>
      <c r="FC1757" s="1"/>
      <c r="FD1757" s="1"/>
      <c r="FE1757" s="1"/>
      <c r="FF1757" s="1"/>
      <c r="FG1757" s="1"/>
      <c r="FH1757" s="1"/>
      <c r="FI1757" s="1"/>
      <c r="FJ1757" s="1"/>
      <c r="FK1757" s="1"/>
      <c r="FL1757" s="1"/>
      <c r="FM1757" s="1"/>
      <c r="FN1757" s="1"/>
      <c r="FO1757" s="1"/>
      <c r="FP1757" s="1"/>
      <c r="FQ1757" s="1"/>
      <c r="FR1757" s="1"/>
      <c r="FS1757" s="1"/>
      <c r="FT1757" s="1"/>
      <c r="FU1757" s="1"/>
      <c r="FV1757" s="1"/>
      <c r="FW1757" s="1"/>
      <c r="FX1757" s="1"/>
      <c r="FY1757" s="1"/>
      <c r="FZ1757" s="1"/>
      <c r="GA1757" s="1"/>
      <c r="GB1757" s="1"/>
      <c r="GC1757" s="1"/>
      <c r="GD1757" s="1"/>
      <c r="GE1757" s="1"/>
      <c r="GF1757" s="1"/>
      <c r="GG1757" s="1"/>
      <c r="GH1757" s="1"/>
      <c r="GI1757" s="1"/>
      <c r="GJ1757" s="1"/>
      <c r="GK1757" s="1"/>
      <c r="GL1757" s="1"/>
      <c r="GM1757" s="1"/>
      <c r="GN1757" s="1"/>
      <c r="GO1757" s="1"/>
      <c r="GP1757" s="1"/>
      <c r="GQ1757" s="1"/>
      <c r="GR1757" s="1"/>
      <c r="GS1757" s="1"/>
      <c r="GT1757" s="1"/>
      <c r="GU1757" s="1"/>
      <c r="GV1757" s="1"/>
      <c r="GW1757" s="1"/>
      <c r="GX1757" s="1"/>
      <c r="GY1757" s="1"/>
      <c r="GZ1757" s="1"/>
      <c r="HA1757" s="1"/>
      <c r="HB1757" s="1"/>
      <c r="HC1757" s="1"/>
      <c r="HD1757" s="1"/>
      <c r="HE1757" s="1"/>
      <c r="HF1757" s="1"/>
      <c r="HG1757" s="1"/>
      <c r="HH1757" s="1"/>
    </row>
    <row r="1758" spans="1:216" x14ac:dyDescent="0.3">
      <c r="A1758" s="3"/>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c r="EF1758" s="1"/>
      <c r="EG1758" s="1"/>
      <c r="EH1758" s="1"/>
      <c r="EI1758" s="1"/>
      <c r="EJ1758" s="1"/>
      <c r="EK1758" s="1"/>
      <c r="EL1758" s="1"/>
      <c r="EM1758" s="1"/>
      <c r="EN1758" s="1"/>
      <c r="EO1758" s="1"/>
      <c r="EP1758" s="1"/>
      <c r="EQ1758" s="1"/>
      <c r="ER1758" s="1"/>
      <c r="ES1758" s="1"/>
      <c r="ET1758" s="1"/>
      <c r="EU1758" s="1"/>
      <c r="EV1758" s="1"/>
      <c r="EW1758" s="1"/>
      <c r="EX1758" s="1"/>
      <c r="EY1758" s="1"/>
      <c r="EZ1758" s="1"/>
      <c r="FA1758" s="1"/>
      <c r="FB1758" s="1"/>
      <c r="FC1758" s="1"/>
      <c r="FD1758" s="1"/>
      <c r="FE1758" s="1"/>
      <c r="FF1758" s="1"/>
      <c r="FG1758" s="1"/>
      <c r="FH1758" s="1"/>
      <c r="FI1758" s="1"/>
      <c r="FJ1758" s="1"/>
      <c r="FK1758" s="1"/>
      <c r="FL1758" s="1"/>
      <c r="FM1758" s="1"/>
      <c r="FN1758" s="1"/>
      <c r="FO1758" s="1"/>
      <c r="FP1758" s="1"/>
      <c r="FQ1758" s="1"/>
      <c r="FR1758" s="1"/>
      <c r="FS1758" s="1"/>
      <c r="FT1758" s="1"/>
      <c r="FU1758" s="1"/>
      <c r="FV1758" s="1"/>
      <c r="FW1758" s="1"/>
      <c r="FX1758" s="1"/>
      <c r="FY1758" s="1"/>
      <c r="FZ1758" s="1"/>
      <c r="GA1758" s="1"/>
      <c r="GB1758" s="1"/>
      <c r="GC1758" s="1"/>
      <c r="GD1758" s="1"/>
      <c r="GE1758" s="1"/>
      <c r="GF1758" s="1"/>
      <c r="GG1758" s="1"/>
      <c r="GH1758" s="1"/>
      <c r="GI1758" s="1"/>
      <c r="GJ1758" s="1"/>
      <c r="GK1758" s="1"/>
      <c r="GL1758" s="1"/>
      <c r="GM1758" s="1"/>
      <c r="GN1758" s="1"/>
      <c r="GO1758" s="1"/>
      <c r="GP1758" s="1"/>
      <c r="GQ1758" s="1"/>
      <c r="GR1758" s="1"/>
      <c r="GS1758" s="1"/>
      <c r="GT1758" s="1"/>
      <c r="GU1758" s="1"/>
      <c r="GV1758" s="1"/>
      <c r="GW1758" s="1"/>
      <c r="GX1758" s="1"/>
      <c r="GY1758" s="1"/>
      <c r="GZ1758" s="1"/>
      <c r="HA1758" s="1"/>
      <c r="HB1758" s="1"/>
      <c r="HC1758" s="1"/>
      <c r="HD1758" s="1"/>
      <c r="HE1758" s="1"/>
      <c r="HF1758" s="1"/>
      <c r="HG1758" s="1"/>
      <c r="HH1758" s="1"/>
    </row>
    <row r="1759" spans="1:216" x14ac:dyDescent="0.3">
      <c r="A1759" s="3"/>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c r="EF1759" s="1"/>
      <c r="EG1759" s="1"/>
      <c r="EH1759" s="1"/>
      <c r="EI1759" s="1"/>
      <c r="EJ1759" s="1"/>
      <c r="EK1759" s="1"/>
      <c r="EL1759" s="1"/>
      <c r="EM1759" s="1"/>
      <c r="EN1759" s="1"/>
      <c r="EO1759" s="1"/>
      <c r="EP1759" s="1"/>
      <c r="EQ1759" s="1"/>
      <c r="ER1759" s="1"/>
      <c r="ES1759" s="1"/>
      <c r="ET1759" s="1"/>
      <c r="EU1759" s="1"/>
      <c r="EV1759" s="1"/>
      <c r="EW1759" s="1"/>
      <c r="EX1759" s="1"/>
      <c r="EY1759" s="1"/>
      <c r="EZ1759" s="1"/>
      <c r="FA1759" s="1"/>
      <c r="FB1759" s="1"/>
      <c r="FC1759" s="1"/>
      <c r="FD1759" s="1"/>
      <c r="FE1759" s="1"/>
      <c r="FF1759" s="1"/>
      <c r="FG1759" s="1"/>
      <c r="FH1759" s="1"/>
      <c r="FI1759" s="1"/>
      <c r="FJ1759" s="1"/>
      <c r="FK1759" s="1"/>
      <c r="FL1759" s="1"/>
      <c r="FM1759" s="1"/>
      <c r="FN1759" s="1"/>
      <c r="FO1759" s="1"/>
      <c r="FP1759" s="1"/>
      <c r="FQ1759" s="1"/>
      <c r="FR1759" s="1"/>
      <c r="FS1759" s="1"/>
      <c r="FT1759" s="1"/>
      <c r="FU1759" s="1"/>
      <c r="FV1759" s="1"/>
      <c r="FW1759" s="1"/>
      <c r="FX1759" s="1"/>
      <c r="FY1759" s="1"/>
      <c r="FZ1759" s="1"/>
      <c r="GA1759" s="1"/>
      <c r="GB1759" s="1"/>
      <c r="GC1759" s="1"/>
      <c r="GD1759" s="1"/>
      <c r="GE1759" s="1"/>
      <c r="GF1759" s="1"/>
      <c r="GG1759" s="1"/>
      <c r="GH1759" s="1"/>
      <c r="GI1759" s="1"/>
      <c r="GJ1759" s="1"/>
      <c r="GK1759" s="1"/>
      <c r="GL1759" s="1"/>
      <c r="GM1759" s="1"/>
      <c r="GN1759" s="1"/>
      <c r="GO1759" s="1"/>
      <c r="GP1759" s="1"/>
      <c r="GQ1759" s="1"/>
      <c r="GR1759" s="1"/>
      <c r="GS1759" s="1"/>
      <c r="GT1759" s="1"/>
      <c r="GU1759" s="1"/>
      <c r="GV1759" s="1"/>
      <c r="GW1759" s="1"/>
      <c r="GX1759" s="1"/>
      <c r="GY1759" s="1"/>
      <c r="GZ1759" s="1"/>
      <c r="HA1759" s="1"/>
      <c r="HB1759" s="1"/>
      <c r="HC1759" s="1"/>
      <c r="HD1759" s="1"/>
      <c r="HE1759" s="1"/>
      <c r="HF1759" s="1"/>
      <c r="HG1759" s="1"/>
      <c r="HH1759" s="1"/>
    </row>
    <row r="1760" spans="1:216" x14ac:dyDescent="0.3">
      <c r="A1760" s="3"/>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c r="EF1760" s="1"/>
      <c r="EG1760" s="1"/>
      <c r="EH1760" s="1"/>
      <c r="EI1760" s="1"/>
      <c r="EJ1760" s="1"/>
      <c r="EK1760" s="1"/>
      <c r="EL1760" s="1"/>
      <c r="EM1760" s="1"/>
      <c r="EN1760" s="1"/>
      <c r="EO1760" s="1"/>
      <c r="EP1760" s="1"/>
      <c r="EQ1760" s="1"/>
      <c r="ER1760" s="1"/>
      <c r="ES1760" s="1"/>
      <c r="ET1760" s="1"/>
      <c r="EU1760" s="1"/>
      <c r="EV1760" s="1"/>
      <c r="EW1760" s="1"/>
      <c r="EX1760" s="1"/>
      <c r="EY1760" s="1"/>
      <c r="EZ1760" s="1"/>
      <c r="FA1760" s="1"/>
      <c r="FB1760" s="1"/>
      <c r="FC1760" s="1"/>
      <c r="FD1760" s="1"/>
      <c r="FE1760" s="1"/>
      <c r="FF1760" s="1"/>
      <c r="FG1760" s="1"/>
      <c r="FH1760" s="1"/>
      <c r="FI1760" s="1"/>
      <c r="FJ1760" s="1"/>
      <c r="FK1760" s="1"/>
      <c r="FL1760" s="1"/>
      <c r="FM1760" s="1"/>
      <c r="FN1760" s="1"/>
      <c r="FO1760" s="1"/>
      <c r="FP1760" s="1"/>
      <c r="FQ1760" s="1"/>
      <c r="FR1760" s="1"/>
      <c r="FS1760" s="1"/>
      <c r="FT1760" s="1"/>
      <c r="FU1760" s="1"/>
      <c r="FV1760" s="1"/>
      <c r="FW1760" s="1"/>
      <c r="FX1760" s="1"/>
      <c r="FY1760" s="1"/>
      <c r="FZ1760" s="1"/>
      <c r="GA1760" s="1"/>
      <c r="GB1760" s="1"/>
      <c r="GC1760" s="1"/>
      <c r="GD1760" s="1"/>
      <c r="GE1760" s="1"/>
      <c r="GF1760" s="1"/>
      <c r="GG1760" s="1"/>
      <c r="GH1760" s="1"/>
      <c r="GI1760" s="1"/>
      <c r="GJ1760" s="1"/>
      <c r="GK1760" s="1"/>
      <c r="GL1760" s="1"/>
      <c r="GM1760" s="1"/>
      <c r="GN1760" s="1"/>
      <c r="GO1760" s="1"/>
      <c r="GP1760" s="1"/>
      <c r="GQ1760" s="1"/>
      <c r="GR1760" s="1"/>
      <c r="GS1760" s="1"/>
      <c r="GT1760" s="1"/>
      <c r="GU1760" s="1"/>
      <c r="GV1760" s="1"/>
      <c r="GW1760" s="1"/>
      <c r="GX1760" s="1"/>
      <c r="GY1760" s="1"/>
      <c r="GZ1760" s="1"/>
      <c r="HA1760" s="1"/>
      <c r="HB1760" s="1"/>
      <c r="HC1760" s="1"/>
      <c r="HD1760" s="1"/>
      <c r="HE1760" s="1"/>
      <c r="HF1760" s="1"/>
      <c r="HG1760" s="1"/>
      <c r="HH1760" s="1"/>
    </row>
    <row r="1761" spans="1:216" x14ac:dyDescent="0.3">
      <c r="A1761" s="3"/>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c r="EF1761" s="1"/>
      <c r="EG1761" s="1"/>
      <c r="EH1761" s="1"/>
      <c r="EI1761" s="1"/>
      <c r="EJ1761" s="1"/>
      <c r="EK1761" s="1"/>
      <c r="EL1761" s="1"/>
      <c r="EM1761" s="1"/>
      <c r="EN1761" s="1"/>
      <c r="EO1761" s="1"/>
      <c r="EP1761" s="1"/>
      <c r="EQ1761" s="1"/>
      <c r="ER1761" s="1"/>
      <c r="ES1761" s="1"/>
      <c r="ET1761" s="1"/>
      <c r="EU1761" s="1"/>
      <c r="EV1761" s="1"/>
      <c r="EW1761" s="1"/>
      <c r="EX1761" s="1"/>
      <c r="EY1761" s="1"/>
      <c r="EZ1761" s="1"/>
      <c r="FA1761" s="1"/>
      <c r="FB1761" s="1"/>
      <c r="FC1761" s="1"/>
      <c r="FD1761" s="1"/>
      <c r="FE1761" s="1"/>
      <c r="FF1761" s="1"/>
      <c r="FG1761" s="1"/>
      <c r="FH1761" s="1"/>
      <c r="FI1761" s="1"/>
      <c r="FJ1761" s="1"/>
      <c r="FK1761" s="1"/>
      <c r="FL1761" s="1"/>
      <c r="FM1761" s="1"/>
      <c r="FN1761" s="1"/>
      <c r="FO1761" s="1"/>
      <c r="FP1761" s="1"/>
      <c r="FQ1761" s="1"/>
      <c r="FR1761" s="1"/>
      <c r="FS1761" s="1"/>
      <c r="FT1761" s="1"/>
      <c r="FU1761" s="1"/>
      <c r="FV1761" s="1"/>
      <c r="FW1761" s="1"/>
      <c r="FX1761" s="1"/>
      <c r="FY1761" s="1"/>
      <c r="FZ1761" s="1"/>
      <c r="GA1761" s="1"/>
      <c r="GB1761" s="1"/>
      <c r="GC1761" s="1"/>
      <c r="GD1761" s="1"/>
      <c r="GE1761" s="1"/>
      <c r="GF1761" s="1"/>
      <c r="GG1761" s="1"/>
      <c r="GH1761" s="1"/>
      <c r="GI1761" s="1"/>
      <c r="GJ1761" s="1"/>
      <c r="GK1761" s="1"/>
      <c r="GL1761" s="1"/>
      <c r="GM1761" s="1"/>
      <c r="GN1761" s="1"/>
      <c r="GO1761" s="1"/>
      <c r="GP1761" s="1"/>
      <c r="GQ1761" s="1"/>
      <c r="GR1761" s="1"/>
      <c r="GS1761" s="1"/>
      <c r="GT1761" s="1"/>
      <c r="GU1761" s="1"/>
      <c r="GV1761" s="1"/>
      <c r="GW1761" s="1"/>
      <c r="GX1761" s="1"/>
      <c r="GY1761" s="1"/>
      <c r="GZ1761" s="1"/>
      <c r="HA1761" s="1"/>
      <c r="HB1761" s="1"/>
      <c r="HC1761" s="1"/>
      <c r="HD1761" s="1"/>
      <c r="HE1761" s="1"/>
      <c r="HF1761" s="1"/>
      <c r="HG1761" s="1"/>
      <c r="HH1761" s="1"/>
    </row>
    <row r="1762" spans="1:216" x14ac:dyDescent="0.3">
      <c r="A1762" s="3"/>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c r="EF1762" s="1"/>
      <c r="EG1762" s="1"/>
      <c r="EH1762" s="1"/>
      <c r="EI1762" s="1"/>
      <c r="EJ1762" s="1"/>
      <c r="EK1762" s="1"/>
      <c r="EL1762" s="1"/>
      <c r="EM1762" s="1"/>
      <c r="EN1762" s="1"/>
      <c r="EO1762" s="1"/>
      <c r="EP1762" s="1"/>
      <c r="EQ1762" s="1"/>
      <c r="ER1762" s="1"/>
      <c r="ES1762" s="1"/>
      <c r="ET1762" s="1"/>
      <c r="EU1762" s="1"/>
      <c r="EV1762" s="1"/>
      <c r="EW1762" s="1"/>
      <c r="EX1762" s="1"/>
      <c r="EY1762" s="1"/>
      <c r="EZ1762" s="1"/>
      <c r="FA1762" s="1"/>
      <c r="FB1762" s="1"/>
      <c r="FC1762" s="1"/>
      <c r="FD1762" s="1"/>
      <c r="FE1762" s="1"/>
      <c r="FF1762" s="1"/>
      <c r="FG1762" s="1"/>
      <c r="FH1762" s="1"/>
      <c r="FI1762" s="1"/>
      <c r="FJ1762" s="1"/>
      <c r="FK1762" s="1"/>
      <c r="FL1762" s="1"/>
      <c r="FM1762" s="1"/>
      <c r="FN1762" s="1"/>
      <c r="FO1762" s="1"/>
      <c r="FP1762" s="1"/>
      <c r="FQ1762" s="1"/>
      <c r="FR1762" s="1"/>
      <c r="FS1762" s="1"/>
      <c r="FT1762" s="1"/>
      <c r="FU1762" s="1"/>
      <c r="FV1762" s="1"/>
      <c r="FW1762" s="1"/>
      <c r="FX1762" s="1"/>
      <c r="FY1762" s="1"/>
      <c r="FZ1762" s="1"/>
      <c r="GA1762" s="1"/>
      <c r="GB1762" s="1"/>
      <c r="GC1762" s="1"/>
      <c r="GD1762" s="1"/>
      <c r="GE1762" s="1"/>
      <c r="GF1762" s="1"/>
      <c r="GG1762" s="1"/>
      <c r="GH1762" s="1"/>
      <c r="GI1762" s="1"/>
      <c r="GJ1762" s="1"/>
      <c r="GK1762" s="1"/>
      <c r="GL1762" s="1"/>
      <c r="GM1762" s="1"/>
      <c r="GN1762" s="1"/>
      <c r="GO1762" s="1"/>
      <c r="GP1762" s="1"/>
      <c r="GQ1762" s="1"/>
      <c r="GR1762" s="1"/>
      <c r="GS1762" s="1"/>
      <c r="GT1762" s="1"/>
      <c r="GU1762" s="1"/>
      <c r="GV1762" s="1"/>
      <c r="GW1762" s="1"/>
      <c r="GX1762" s="1"/>
      <c r="GY1762" s="1"/>
      <c r="GZ1762" s="1"/>
      <c r="HA1762" s="1"/>
      <c r="HB1762" s="1"/>
      <c r="HC1762" s="1"/>
      <c r="HD1762" s="1"/>
      <c r="HE1762" s="1"/>
      <c r="HF1762" s="1"/>
      <c r="HG1762" s="1"/>
      <c r="HH1762" s="1"/>
    </row>
    <row r="1763" spans="1:216" x14ac:dyDescent="0.3">
      <c r="A1763" s="3"/>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c r="EF1763" s="1"/>
      <c r="EG1763" s="1"/>
      <c r="EH1763" s="1"/>
      <c r="EI1763" s="1"/>
      <c r="EJ1763" s="1"/>
      <c r="EK1763" s="1"/>
      <c r="EL1763" s="1"/>
      <c r="EM1763" s="1"/>
      <c r="EN1763" s="1"/>
      <c r="EO1763" s="1"/>
      <c r="EP1763" s="1"/>
      <c r="EQ1763" s="1"/>
      <c r="ER1763" s="1"/>
      <c r="ES1763" s="1"/>
      <c r="ET1763" s="1"/>
      <c r="EU1763" s="1"/>
      <c r="EV1763" s="1"/>
      <c r="EW1763" s="1"/>
      <c r="EX1763" s="1"/>
      <c r="EY1763" s="1"/>
      <c r="EZ1763" s="1"/>
      <c r="FA1763" s="1"/>
      <c r="FB1763" s="1"/>
      <c r="FC1763" s="1"/>
      <c r="FD1763" s="1"/>
      <c r="FE1763" s="1"/>
      <c r="FF1763" s="1"/>
      <c r="FG1763" s="1"/>
      <c r="FH1763" s="1"/>
      <c r="FI1763" s="1"/>
      <c r="FJ1763" s="1"/>
      <c r="FK1763" s="1"/>
      <c r="FL1763" s="1"/>
      <c r="FM1763" s="1"/>
      <c r="FN1763" s="1"/>
      <c r="FO1763" s="1"/>
      <c r="FP1763" s="1"/>
      <c r="FQ1763" s="1"/>
      <c r="FR1763" s="1"/>
      <c r="FS1763" s="1"/>
      <c r="FT1763" s="1"/>
      <c r="FU1763" s="1"/>
      <c r="FV1763" s="1"/>
      <c r="FW1763" s="1"/>
      <c r="FX1763" s="1"/>
      <c r="FY1763" s="1"/>
      <c r="FZ1763" s="1"/>
      <c r="GA1763" s="1"/>
      <c r="GB1763" s="1"/>
      <c r="GC1763" s="1"/>
      <c r="GD1763" s="1"/>
      <c r="GE1763" s="1"/>
      <c r="GF1763" s="1"/>
      <c r="GG1763" s="1"/>
      <c r="GH1763" s="1"/>
      <c r="GI1763" s="1"/>
      <c r="GJ1763" s="1"/>
      <c r="GK1763" s="1"/>
      <c r="GL1763" s="1"/>
      <c r="GM1763" s="1"/>
      <c r="GN1763" s="1"/>
      <c r="GO1763" s="1"/>
      <c r="GP1763" s="1"/>
      <c r="GQ1763" s="1"/>
      <c r="GR1763" s="1"/>
      <c r="GS1763" s="1"/>
      <c r="GT1763" s="1"/>
      <c r="GU1763" s="1"/>
      <c r="GV1763" s="1"/>
      <c r="GW1763" s="1"/>
      <c r="GX1763" s="1"/>
      <c r="GY1763" s="1"/>
      <c r="GZ1763" s="1"/>
      <c r="HA1763" s="1"/>
      <c r="HB1763" s="1"/>
      <c r="HC1763" s="1"/>
      <c r="HD1763" s="1"/>
      <c r="HE1763" s="1"/>
      <c r="HF1763" s="1"/>
      <c r="HG1763" s="1"/>
      <c r="HH1763" s="1"/>
    </row>
    <row r="1764" spans="1:216" x14ac:dyDescent="0.3">
      <c r="A1764" s="3"/>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c r="EF1764" s="1"/>
      <c r="EG1764" s="1"/>
      <c r="EH1764" s="1"/>
      <c r="EI1764" s="1"/>
      <c r="EJ1764" s="1"/>
      <c r="EK1764" s="1"/>
      <c r="EL1764" s="1"/>
      <c r="EM1764" s="1"/>
      <c r="EN1764" s="1"/>
      <c r="EO1764" s="1"/>
      <c r="EP1764" s="1"/>
      <c r="EQ1764" s="1"/>
      <c r="ER1764" s="1"/>
      <c r="ES1764" s="1"/>
      <c r="ET1764" s="1"/>
      <c r="EU1764" s="1"/>
      <c r="EV1764" s="1"/>
      <c r="EW1764" s="1"/>
      <c r="EX1764" s="1"/>
      <c r="EY1764" s="1"/>
      <c r="EZ1764" s="1"/>
      <c r="FA1764" s="1"/>
      <c r="FB1764" s="1"/>
      <c r="FC1764" s="1"/>
      <c r="FD1764" s="1"/>
      <c r="FE1764" s="1"/>
      <c r="FF1764" s="1"/>
      <c r="FG1764" s="1"/>
      <c r="FH1764" s="1"/>
      <c r="FI1764" s="1"/>
      <c r="FJ1764" s="1"/>
      <c r="FK1764" s="1"/>
      <c r="FL1764" s="1"/>
      <c r="FM1764" s="1"/>
      <c r="FN1764" s="1"/>
      <c r="FO1764" s="1"/>
      <c r="FP1764" s="1"/>
      <c r="FQ1764" s="1"/>
      <c r="FR1764" s="1"/>
      <c r="FS1764" s="1"/>
      <c r="FT1764" s="1"/>
      <c r="FU1764" s="1"/>
      <c r="FV1764" s="1"/>
      <c r="FW1764" s="1"/>
      <c r="FX1764" s="1"/>
      <c r="FY1764" s="1"/>
      <c r="FZ1764" s="1"/>
      <c r="GA1764" s="1"/>
      <c r="GB1764" s="1"/>
      <c r="GC1764" s="1"/>
      <c r="GD1764" s="1"/>
      <c r="GE1764" s="1"/>
      <c r="GF1764" s="1"/>
      <c r="GG1764" s="1"/>
      <c r="GH1764" s="1"/>
      <c r="GI1764" s="1"/>
      <c r="GJ1764" s="1"/>
      <c r="GK1764" s="1"/>
      <c r="GL1764" s="1"/>
      <c r="GM1764" s="1"/>
      <c r="GN1764" s="1"/>
      <c r="GO1764" s="1"/>
      <c r="GP1764" s="1"/>
      <c r="GQ1764" s="1"/>
      <c r="GR1764" s="1"/>
      <c r="GS1764" s="1"/>
      <c r="GT1764" s="1"/>
      <c r="GU1764" s="1"/>
      <c r="GV1764" s="1"/>
      <c r="GW1764" s="1"/>
      <c r="GX1764" s="1"/>
      <c r="GY1764" s="1"/>
      <c r="GZ1764" s="1"/>
      <c r="HA1764" s="1"/>
      <c r="HB1764" s="1"/>
      <c r="HC1764" s="1"/>
      <c r="HD1764" s="1"/>
      <c r="HE1764" s="1"/>
      <c r="HF1764" s="1"/>
      <c r="HG1764" s="1"/>
      <c r="HH1764" s="1"/>
    </row>
    <row r="1765" spans="1:216" x14ac:dyDescent="0.3">
      <c r="A1765" s="3"/>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c r="EF1765" s="1"/>
      <c r="EG1765" s="1"/>
      <c r="EH1765" s="1"/>
      <c r="EI1765" s="1"/>
      <c r="EJ1765" s="1"/>
      <c r="EK1765" s="1"/>
      <c r="EL1765" s="1"/>
      <c r="EM1765" s="1"/>
      <c r="EN1765" s="1"/>
      <c r="EO1765" s="1"/>
      <c r="EP1765" s="1"/>
      <c r="EQ1765" s="1"/>
      <c r="ER1765" s="1"/>
      <c r="ES1765" s="1"/>
      <c r="ET1765" s="1"/>
      <c r="EU1765" s="1"/>
      <c r="EV1765" s="1"/>
      <c r="EW1765" s="1"/>
      <c r="EX1765" s="1"/>
      <c r="EY1765" s="1"/>
      <c r="EZ1765" s="1"/>
      <c r="FA1765" s="1"/>
      <c r="FB1765" s="1"/>
      <c r="FC1765" s="1"/>
      <c r="FD1765" s="1"/>
      <c r="FE1765" s="1"/>
      <c r="FF1765" s="1"/>
      <c r="FG1765" s="1"/>
      <c r="FH1765" s="1"/>
      <c r="FI1765" s="1"/>
      <c r="FJ1765" s="1"/>
      <c r="FK1765" s="1"/>
      <c r="FL1765" s="1"/>
      <c r="FM1765" s="1"/>
      <c r="FN1765" s="1"/>
      <c r="FO1765" s="1"/>
      <c r="FP1765" s="1"/>
      <c r="FQ1765" s="1"/>
      <c r="FR1765" s="1"/>
      <c r="FS1765" s="1"/>
      <c r="FT1765" s="1"/>
      <c r="FU1765" s="1"/>
      <c r="FV1765" s="1"/>
      <c r="FW1765" s="1"/>
      <c r="FX1765" s="1"/>
      <c r="FY1765" s="1"/>
      <c r="FZ1765" s="1"/>
      <c r="GA1765" s="1"/>
      <c r="GB1765" s="1"/>
      <c r="GC1765" s="1"/>
      <c r="GD1765" s="1"/>
      <c r="GE1765" s="1"/>
      <c r="GF1765" s="1"/>
      <c r="GG1765" s="1"/>
      <c r="GH1765" s="1"/>
      <c r="GI1765" s="1"/>
      <c r="GJ1765" s="1"/>
      <c r="GK1765" s="1"/>
      <c r="GL1765" s="1"/>
      <c r="GM1765" s="1"/>
      <c r="GN1765" s="1"/>
      <c r="GO1765" s="1"/>
      <c r="GP1765" s="1"/>
      <c r="GQ1765" s="1"/>
      <c r="GR1765" s="1"/>
      <c r="GS1765" s="1"/>
      <c r="GT1765" s="1"/>
      <c r="GU1765" s="1"/>
      <c r="GV1765" s="1"/>
      <c r="GW1765" s="1"/>
      <c r="GX1765" s="1"/>
      <c r="GY1765" s="1"/>
      <c r="GZ1765" s="1"/>
      <c r="HA1765" s="1"/>
      <c r="HB1765" s="1"/>
      <c r="HC1765" s="1"/>
      <c r="HD1765" s="1"/>
      <c r="HE1765" s="1"/>
      <c r="HF1765" s="1"/>
      <c r="HG1765" s="1"/>
      <c r="HH1765" s="1"/>
    </row>
    <row r="1766" spans="1:216" x14ac:dyDescent="0.3">
      <c r="A1766" s="3"/>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c r="DU1766" s="1"/>
      <c r="DV1766" s="1"/>
      <c r="DW1766" s="1"/>
      <c r="DX1766" s="1"/>
      <c r="DY1766" s="1"/>
      <c r="DZ1766" s="1"/>
      <c r="EA1766" s="1"/>
      <c r="EB1766" s="1"/>
      <c r="EC1766" s="1"/>
      <c r="ED1766" s="1"/>
      <c r="EE1766" s="1"/>
      <c r="EF1766" s="1"/>
      <c r="EG1766" s="1"/>
      <c r="EH1766" s="1"/>
      <c r="EI1766" s="1"/>
      <c r="EJ1766" s="1"/>
      <c r="EK1766" s="1"/>
      <c r="EL1766" s="1"/>
      <c r="EM1766" s="1"/>
      <c r="EN1766" s="1"/>
      <c r="EO1766" s="1"/>
      <c r="EP1766" s="1"/>
      <c r="EQ1766" s="1"/>
      <c r="ER1766" s="1"/>
      <c r="ES1766" s="1"/>
      <c r="ET1766" s="1"/>
      <c r="EU1766" s="1"/>
      <c r="EV1766" s="1"/>
      <c r="EW1766" s="1"/>
      <c r="EX1766" s="1"/>
      <c r="EY1766" s="1"/>
      <c r="EZ1766" s="1"/>
      <c r="FA1766" s="1"/>
      <c r="FB1766" s="1"/>
      <c r="FC1766" s="1"/>
      <c r="FD1766" s="1"/>
      <c r="FE1766" s="1"/>
      <c r="FF1766" s="1"/>
      <c r="FG1766" s="1"/>
      <c r="FH1766" s="1"/>
      <c r="FI1766" s="1"/>
      <c r="FJ1766" s="1"/>
      <c r="FK1766" s="1"/>
      <c r="FL1766" s="1"/>
      <c r="FM1766" s="1"/>
      <c r="FN1766" s="1"/>
      <c r="FO1766" s="1"/>
      <c r="FP1766" s="1"/>
      <c r="FQ1766" s="1"/>
      <c r="FR1766" s="1"/>
      <c r="FS1766" s="1"/>
      <c r="FT1766" s="1"/>
      <c r="FU1766" s="1"/>
      <c r="FV1766" s="1"/>
      <c r="FW1766" s="1"/>
      <c r="FX1766" s="1"/>
      <c r="FY1766" s="1"/>
      <c r="FZ1766" s="1"/>
      <c r="GA1766" s="1"/>
      <c r="GB1766" s="1"/>
      <c r="GC1766" s="1"/>
      <c r="GD1766" s="1"/>
      <c r="GE1766" s="1"/>
      <c r="GF1766" s="1"/>
      <c r="GG1766" s="1"/>
      <c r="GH1766" s="1"/>
      <c r="GI1766" s="1"/>
      <c r="GJ1766" s="1"/>
      <c r="GK1766" s="1"/>
      <c r="GL1766" s="1"/>
      <c r="GM1766" s="1"/>
      <c r="GN1766" s="1"/>
      <c r="GO1766" s="1"/>
      <c r="GP1766" s="1"/>
      <c r="GQ1766" s="1"/>
      <c r="GR1766" s="1"/>
      <c r="GS1766" s="1"/>
      <c r="GT1766" s="1"/>
      <c r="GU1766" s="1"/>
      <c r="GV1766" s="1"/>
      <c r="GW1766" s="1"/>
      <c r="GX1766" s="1"/>
      <c r="GY1766" s="1"/>
      <c r="GZ1766" s="1"/>
      <c r="HA1766" s="1"/>
      <c r="HB1766" s="1"/>
      <c r="HC1766" s="1"/>
      <c r="HD1766" s="1"/>
      <c r="HE1766" s="1"/>
      <c r="HF1766" s="1"/>
      <c r="HG1766" s="1"/>
      <c r="HH1766" s="1"/>
    </row>
    <row r="1767" spans="1:216" x14ac:dyDescent="0.3">
      <c r="A1767" s="3"/>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c r="EF1767" s="1"/>
      <c r="EG1767" s="1"/>
      <c r="EH1767" s="1"/>
      <c r="EI1767" s="1"/>
      <c r="EJ1767" s="1"/>
      <c r="EK1767" s="1"/>
      <c r="EL1767" s="1"/>
      <c r="EM1767" s="1"/>
      <c r="EN1767" s="1"/>
      <c r="EO1767" s="1"/>
      <c r="EP1767" s="1"/>
      <c r="EQ1767" s="1"/>
      <c r="ER1767" s="1"/>
      <c r="ES1767" s="1"/>
      <c r="ET1767" s="1"/>
      <c r="EU1767" s="1"/>
      <c r="EV1767" s="1"/>
      <c r="EW1767" s="1"/>
      <c r="EX1767" s="1"/>
      <c r="EY1767" s="1"/>
      <c r="EZ1767" s="1"/>
      <c r="FA1767" s="1"/>
      <c r="FB1767" s="1"/>
      <c r="FC1767" s="1"/>
      <c r="FD1767" s="1"/>
      <c r="FE1767" s="1"/>
      <c r="FF1767" s="1"/>
      <c r="FG1767" s="1"/>
      <c r="FH1767" s="1"/>
      <c r="FI1767" s="1"/>
      <c r="FJ1767" s="1"/>
      <c r="FK1767" s="1"/>
      <c r="FL1767" s="1"/>
      <c r="FM1767" s="1"/>
      <c r="FN1767" s="1"/>
      <c r="FO1767" s="1"/>
      <c r="FP1767" s="1"/>
      <c r="FQ1767" s="1"/>
      <c r="FR1767" s="1"/>
      <c r="FS1767" s="1"/>
      <c r="FT1767" s="1"/>
      <c r="FU1767" s="1"/>
      <c r="FV1767" s="1"/>
      <c r="FW1767" s="1"/>
      <c r="FX1767" s="1"/>
      <c r="FY1767" s="1"/>
      <c r="FZ1767" s="1"/>
      <c r="GA1767" s="1"/>
      <c r="GB1767" s="1"/>
      <c r="GC1767" s="1"/>
      <c r="GD1767" s="1"/>
      <c r="GE1767" s="1"/>
      <c r="GF1767" s="1"/>
      <c r="GG1767" s="1"/>
      <c r="GH1767" s="1"/>
      <c r="GI1767" s="1"/>
      <c r="GJ1767" s="1"/>
      <c r="GK1767" s="1"/>
      <c r="GL1767" s="1"/>
      <c r="GM1767" s="1"/>
      <c r="GN1767" s="1"/>
      <c r="GO1767" s="1"/>
      <c r="GP1767" s="1"/>
      <c r="GQ1767" s="1"/>
      <c r="GR1767" s="1"/>
      <c r="GS1767" s="1"/>
      <c r="GT1767" s="1"/>
      <c r="GU1767" s="1"/>
      <c r="GV1767" s="1"/>
      <c r="GW1767" s="1"/>
      <c r="GX1767" s="1"/>
      <c r="GY1767" s="1"/>
      <c r="GZ1767" s="1"/>
      <c r="HA1767" s="1"/>
      <c r="HB1767" s="1"/>
      <c r="HC1767" s="1"/>
      <c r="HD1767" s="1"/>
      <c r="HE1767" s="1"/>
      <c r="HF1767" s="1"/>
      <c r="HG1767" s="1"/>
      <c r="HH1767" s="1"/>
    </row>
    <row r="1768" spans="1:216" x14ac:dyDescent="0.3">
      <c r="A1768" s="3"/>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c r="FM1768" s="1"/>
      <c r="FN1768" s="1"/>
      <c r="FO1768" s="1"/>
      <c r="FP1768" s="1"/>
      <c r="FQ1768" s="1"/>
      <c r="FR1768" s="1"/>
      <c r="FS1768" s="1"/>
      <c r="FT1768" s="1"/>
      <c r="FU1768" s="1"/>
      <c r="FV1768" s="1"/>
      <c r="FW1768" s="1"/>
      <c r="FX1768" s="1"/>
      <c r="FY1768" s="1"/>
      <c r="FZ1768" s="1"/>
      <c r="GA1768" s="1"/>
      <c r="GB1768" s="1"/>
      <c r="GC1768" s="1"/>
      <c r="GD1768" s="1"/>
      <c r="GE1768" s="1"/>
      <c r="GF1768" s="1"/>
      <c r="GG1768" s="1"/>
      <c r="GH1768" s="1"/>
      <c r="GI1768" s="1"/>
      <c r="GJ1768" s="1"/>
      <c r="GK1768" s="1"/>
      <c r="GL1768" s="1"/>
      <c r="GM1768" s="1"/>
      <c r="GN1768" s="1"/>
      <c r="GO1768" s="1"/>
      <c r="GP1768" s="1"/>
      <c r="GQ1768" s="1"/>
      <c r="GR1768" s="1"/>
      <c r="GS1768" s="1"/>
      <c r="GT1768" s="1"/>
      <c r="GU1768" s="1"/>
      <c r="GV1768" s="1"/>
      <c r="GW1768" s="1"/>
      <c r="GX1768" s="1"/>
      <c r="GY1768" s="1"/>
      <c r="GZ1768" s="1"/>
      <c r="HA1768" s="1"/>
      <c r="HB1768" s="1"/>
      <c r="HC1768" s="1"/>
      <c r="HD1768" s="1"/>
      <c r="HE1768" s="1"/>
      <c r="HF1768" s="1"/>
      <c r="HG1768" s="1"/>
      <c r="HH1768" s="1"/>
    </row>
    <row r="1769" spans="1:216" x14ac:dyDescent="0.3">
      <c r="A1769" s="3"/>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c r="EF1769" s="1"/>
      <c r="EG1769" s="1"/>
      <c r="EH1769" s="1"/>
      <c r="EI1769" s="1"/>
      <c r="EJ1769" s="1"/>
      <c r="EK1769" s="1"/>
      <c r="EL1769" s="1"/>
      <c r="EM1769" s="1"/>
      <c r="EN1769" s="1"/>
      <c r="EO1769" s="1"/>
      <c r="EP1769" s="1"/>
      <c r="EQ1769" s="1"/>
      <c r="ER1769" s="1"/>
      <c r="ES1769" s="1"/>
      <c r="ET1769" s="1"/>
      <c r="EU1769" s="1"/>
      <c r="EV1769" s="1"/>
      <c r="EW1769" s="1"/>
      <c r="EX1769" s="1"/>
      <c r="EY1769" s="1"/>
      <c r="EZ1769" s="1"/>
      <c r="FA1769" s="1"/>
      <c r="FB1769" s="1"/>
      <c r="FC1769" s="1"/>
      <c r="FD1769" s="1"/>
      <c r="FE1769" s="1"/>
      <c r="FF1769" s="1"/>
      <c r="FG1769" s="1"/>
      <c r="FH1769" s="1"/>
      <c r="FI1769" s="1"/>
      <c r="FJ1769" s="1"/>
      <c r="FK1769" s="1"/>
      <c r="FL1769" s="1"/>
      <c r="FM1769" s="1"/>
      <c r="FN1769" s="1"/>
      <c r="FO1769" s="1"/>
      <c r="FP1769" s="1"/>
      <c r="FQ1769" s="1"/>
      <c r="FR1769" s="1"/>
      <c r="FS1769" s="1"/>
      <c r="FT1769" s="1"/>
      <c r="FU1769" s="1"/>
      <c r="FV1769" s="1"/>
      <c r="FW1769" s="1"/>
      <c r="FX1769" s="1"/>
      <c r="FY1769" s="1"/>
      <c r="FZ1769" s="1"/>
      <c r="GA1769" s="1"/>
      <c r="GB1769" s="1"/>
      <c r="GC1769" s="1"/>
      <c r="GD1769" s="1"/>
      <c r="GE1769" s="1"/>
      <c r="GF1769" s="1"/>
      <c r="GG1769" s="1"/>
      <c r="GH1769" s="1"/>
      <c r="GI1769" s="1"/>
      <c r="GJ1769" s="1"/>
      <c r="GK1769" s="1"/>
      <c r="GL1769" s="1"/>
      <c r="GM1769" s="1"/>
      <c r="GN1769" s="1"/>
      <c r="GO1769" s="1"/>
      <c r="GP1769" s="1"/>
      <c r="GQ1769" s="1"/>
      <c r="GR1769" s="1"/>
      <c r="GS1769" s="1"/>
      <c r="GT1769" s="1"/>
      <c r="GU1769" s="1"/>
      <c r="GV1769" s="1"/>
      <c r="GW1769" s="1"/>
      <c r="GX1769" s="1"/>
      <c r="GY1769" s="1"/>
      <c r="GZ1769" s="1"/>
      <c r="HA1769" s="1"/>
      <c r="HB1769" s="1"/>
      <c r="HC1769" s="1"/>
      <c r="HD1769" s="1"/>
      <c r="HE1769" s="1"/>
      <c r="HF1769" s="1"/>
      <c r="HG1769" s="1"/>
      <c r="HH1769" s="1"/>
    </row>
    <row r="1770" spans="1:216" x14ac:dyDescent="0.3">
      <c r="A1770" s="3"/>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c r="EF1770" s="1"/>
      <c r="EG1770" s="1"/>
      <c r="EH1770" s="1"/>
      <c r="EI1770" s="1"/>
      <c r="EJ1770" s="1"/>
      <c r="EK1770" s="1"/>
      <c r="EL1770" s="1"/>
      <c r="EM1770" s="1"/>
      <c r="EN1770" s="1"/>
      <c r="EO1770" s="1"/>
      <c r="EP1770" s="1"/>
      <c r="EQ1770" s="1"/>
      <c r="ER1770" s="1"/>
      <c r="ES1770" s="1"/>
      <c r="ET1770" s="1"/>
      <c r="EU1770" s="1"/>
      <c r="EV1770" s="1"/>
      <c r="EW1770" s="1"/>
      <c r="EX1770" s="1"/>
      <c r="EY1770" s="1"/>
      <c r="EZ1770" s="1"/>
      <c r="FA1770" s="1"/>
      <c r="FB1770" s="1"/>
      <c r="FC1770" s="1"/>
      <c r="FD1770" s="1"/>
      <c r="FE1770" s="1"/>
      <c r="FF1770" s="1"/>
      <c r="FG1770" s="1"/>
      <c r="FH1770" s="1"/>
      <c r="FI1770" s="1"/>
      <c r="FJ1770" s="1"/>
      <c r="FK1770" s="1"/>
      <c r="FL1770" s="1"/>
      <c r="FM1770" s="1"/>
      <c r="FN1770" s="1"/>
      <c r="FO1770" s="1"/>
      <c r="FP1770" s="1"/>
      <c r="FQ1770" s="1"/>
      <c r="FR1770" s="1"/>
      <c r="FS1770" s="1"/>
      <c r="FT1770" s="1"/>
      <c r="FU1770" s="1"/>
      <c r="FV1770" s="1"/>
      <c r="FW1770" s="1"/>
      <c r="FX1770" s="1"/>
      <c r="FY1770" s="1"/>
      <c r="FZ1770" s="1"/>
      <c r="GA1770" s="1"/>
      <c r="GB1770" s="1"/>
      <c r="GC1770" s="1"/>
      <c r="GD1770" s="1"/>
      <c r="GE1770" s="1"/>
      <c r="GF1770" s="1"/>
      <c r="GG1770" s="1"/>
      <c r="GH1770" s="1"/>
      <c r="GI1770" s="1"/>
      <c r="GJ1770" s="1"/>
      <c r="GK1770" s="1"/>
      <c r="GL1770" s="1"/>
      <c r="GM1770" s="1"/>
      <c r="GN1770" s="1"/>
      <c r="GO1770" s="1"/>
      <c r="GP1770" s="1"/>
      <c r="GQ1770" s="1"/>
      <c r="GR1770" s="1"/>
      <c r="GS1770" s="1"/>
      <c r="GT1770" s="1"/>
      <c r="GU1770" s="1"/>
      <c r="GV1770" s="1"/>
      <c r="GW1770" s="1"/>
      <c r="GX1770" s="1"/>
      <c r="GY1770" s="1"/>
      <c r="GZ1770" s="1"/>
      <c r="HA1770" s="1"/>
      <c r="HB1770" s="1"/>
      <c r="HC1770" s="1"/>
      <c r="HD1770" s="1"/>
      <c r="HE1770" s="1"/>
      <c r="HF1770" s="1"/>
      <c r="HG1770" s="1"/>
      <c r="HH1770" s="1"/>
    </row>
    <row r="1771" spans="1:216" x14ac:dyDescent="0.3">
      <c r="A1771" s="3"/>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c r="EF1771" s="1"/>
      <c r="EG1771" s="1"/>
      <c r="EH1771" s="1"/>
      <c r="EI1771" s="1"/>
      <c r="EJ1771" s="1"/>
      <c r="EK1771" s="1"/>
      <c r="EL1771" s="1"/>
      <c r="EM1771" s="1"/>
      <c r="EN1771" s="1"/>
      <c r="EO1771" s="1"/>
      <c r="EP1771" s="1"/>
      <c r="EQ1771" s="1"/>
      <c r="ER1771" s="1"/>
      <c r="ES1771" s="1"/>
      <c r="ET1771" s="1"/>
      <c r="EU1771" s="1"/>
      <c r="EV1771" s="1"/>
      <c r="EW1771" s="1"/>
      <c r="EX1771" s="1"/>
      <c r="EY1771" s="1"/>
      <c r="EZ1771" s="1"/>
      <c r="FA1771" s="1"/>
      <c r="FB1771" s="1"/>
      <c r="FC1771" s="1"/>
      <c r="FD1771" s="1"/>
      <c r="FE1771" s="1"/>
      <c r="FF1771" s="1"/>
      <c r="FG1771" s="1"/>
      <c r="FH1771" s="1"/>
      <c r="FI1771" s="1"/>
      <c r="FJ1771" s="1"/>
      <c r="FK1771" s="1"/>
      <c r="FL1771" s="1"/>
      <c r="FM1771" s="1"/>
      <c r="FN1771" s="1"/>
      <c r="FO1771" s="1"/>
      <c r="FP1771" s="1"/>
      <c r="FQ1771" s="1"/>
      <c r="FR1771" s="1"/>
      <c r="FS1771" s="1"/>
      <c r="FT1771" s="1"/>
      <c r="FU1771" s="1"/>
      <c r="FV1771" s="1"/>
      <c r="FW1771" s="1"/>
      <c r="FX1771" s="1"/>
      <c r="FY1771" s="1"/>
      <c r="FZ1771" s="1"/>
      <c r="GA1771" s="1"/>
      <c r="GB1771" s="1"/>
      <c r="GC1771" s="1"/>
      <c r="GD1771" s="1"/>
      <c r="GE1771" s="1"/>
      <c r="GF1771" s="1"/>
      <c r="GG1771" s="1"/>
      <c r="GH1771" s="1"/>
      <c r="GI1771" s="1"/>
      <c r="GJ1771" s="1"/>
      <c r="GK1771" s="1"/>
      <c r="GL1771" s="1"/>
      <c r="GM1771" s="1"/>
      <c r="GN1771" s="1"/>
      <c r="GO1771" s="1"/>
      <c r="GP1771" s="1"/>
      <c r="GQ1771" s="1"/>
      <c r="GR1771" s="1"/>
      <c r="GS1771" s="1"/>
      <c r="GT1771" s="1"/>
      <c r="GU1771" s="1"/>
      <c r="GV1771" s="1"/>
      <c r="GW1771" s="1"/>
      <c r="GX1771" s="1"/>
      <c r="GY1771" s="1"/>
      <c r="GZ1771" s="1"/>
      <c r="HA1771" s="1"/>
      <c r="HB1771" s="1"/>
      <c r="HC1771" s="1"/>
      <c r="HD1771" s="1"/>
      <c r="HE1771" s="1"/>
      <c r="HF1771" s="1"/>
      <c r="HG1771" s="1"/>
      <c r="HH1771" s="1"/>
    </row>
    <row r="1772" spans="1:216" x14ac:dyDescent="0.3">
      <c r="A1772" s="3"/>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c r="EF1772" s="1"/>
      <c r="EG1772" s="1"/>
      <c r="EH1772" s="1"/>
      <c r="EI1772" s="1"/>
      <c r="EJ1772" s="1"/>
      <c r="EK1772" s="1"/>
      <c r="EL1772" s="1"/>
      <c r="EM1772" s="1"/>
      <c r="EN1772" s="1"/>
      <c r="EO1772" s="1"/>
      <c r="EP1772" s="1"/>
      <c r="EQ1772" s="1"/>
      <c r="ER1772" s="1"/>
      <c r="ES1772" s="1"/>
      <c r="ET1772" s="1"/>
      <c r="EU1772" s="1"/>
      <c r="EV1772" s="1"/>
      <c r="EW1772" s="1"/>
      <c r="EX1772" s="1"/>
      <c r="EY1772" s="1"/>
      <c r="EZ1772" s="1"/>
      <c r="FA1772" s="1"/>
      <c r="FB1772" s="1"/>
      <c r="FC1772" s="1"/>
      <c r="FD1772" s="1"/>
      <c r="FE1772" s="1"/>
      <c r="FF1772" s="1"/>
      <c r="FG1772" s="1"/>
      <c r="FH1772" s="1"/>
      <c r="FI1772" s="1"/>
      <c r="FJ1772" s="1"/>
      <c r="FK1772" s="1"/>
      <c r="FL1772" s="1"/>
      <c r="FM1772" s="1"/>
      <c r="FN1772" s="1"/>
      <c r="FO1772" s="1"/>
      <c r="FP1772" s="1"/>
      <c r="FQ1772" s="1"/>
      <c r="FR1772" s="1"/>
      <c r="FS1772" s="1"/>
      <c r="FT1772" s="1"/>
      <c r="FU1772" s="1"/>
      <c r="FV1772" s="1"/>
      <c r="FW1772" s="1"/>
      <c r="FX1772" s="1"/>
      <c r="FY1772" s="1"/>
      <c r="FZ1772" s="1"/>
      <c r="GA1772" s="1"/>
      <c r="GB1772" s="1"/>
      <c r="GC1772" s="1"/>
      <c r="GD1772" s="1"/>
      <c r="GE1772" s="1"/>
      <c r="GF1772" s="1"/>
      <c r="GG1772" s="1"/>
      <c r="GH1772" s="1"/>
      <c r="GI1772" s="1"/>
      <c r="GJ1772" s="1"/>
      <c r="GK1772" s="1"/>
      <c r="GL1772" s="1"/>
      <c r="GM1772" s="1"/>
      <c r="GN1772" s="1"/>
      <c r="GO1772" s="1"/>
      <c r="GP1772" s="1"/>
      <c r="GQ1772" s="1"/>
      <c r="GR1772" s="1"/>
      <c r="GS1772" s="1"/>
      <c r="GT1772" s="1"/>
      <c r="GU1772" s="1"/>
      <c r="GV1772" s="1"/>
      <c r="GW1772" s="1"/>
      <c r="GX1772" s="1"/>
      <c r="GY1772" s="1"/>
      <c r="GZ1772" s="1"/>
      <c r="HA1772" s="1"/>
      <c r="HB1772" s="1"/>
      <c r="HC1772" s="1"/>
      <c r="HD1772" s="1"/>
      <c r="HE1772" s="1"/>
      <c r="HF1772" s="1"/>
      <c r="HG1772" s="1"/>
      <c r="HH1772" s="1"/>
    </row>
    <row r="1773" spans="1:216" x14ac:dyDescent="0.3">
      <c r="A1773" s="3"/>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c r="EF1773" s="1"/>
      <c r="EG1773" s="1"/>
      <c r="EH1773" s="1"/>
      <c r="EI1773" s="1"/>
      <c r="EJ1773" s="1"/>
      <c r="EK1773" s="1"/>
      <c r="EL1773" s="1"/>
      <c r="EM1773" s="1"/>
      <c r="EN1773" s="1"/>
      <c r="EO1773" s="1"/>
      <c r="EP1773" s="1"/>
      <c r="EQ1773" s="1"/>
      <c r="ER1773" s="1"/>
      <c r="ES1773" s="1"/>
      <c r="ET1773" s="1"/>
      <c r="EU1773" s="1"/>
      <c r="EV1773" s="1"/>
      <c r="EW1773" s="1"/>
      <c r="EX1773" s="1"/>
      <c r="EY1773" s="1"/>
      <c r="EZ1773" s="1"/>
      <c r="FA1773" s="1"/>
      <c r="FB1773" s="1"/>
      <c r="FC1773" s="1"/>
      <c r="FD1773" s="1"/>
      <c r="FE1773" s="1"/>
      <c r="FF1773" s="1"/>
      <c r="FG1773" s="1"/>
      <c r="FH1773" s="1"/>
      <c r="FI1773" s="1"/>
      <c r="FJ1773" s="1"/>
      <c r="FK1773" s="1"/>
      <c r="FL1773" s="1"/>
      <c r="FM1773" s="1"/>
      <c r="FN1773" s="1"/>
      <c r="FO1773" s="1"/>
      <c r="FP1773" s="1"/>
      <c r="FQ1773" s="1"/>
      <c r="FR1773" s="1"/>
      <c r="FS1773" s="1"/>
      <c r="FT1773" s="1"/>
      <c r="FU1773" s="1"/>
      <c r="FV1773" s="1"/>
      <c r="FW1773" s="1"/>
      <c r="FX1773" s="1"/>
      <c r="FY1773" s="1"/>
      <c r="FZ1773" s="1"/>
      <c r="GA1773" s="1"/>
      <c r="GB1773" s="1"/>
      <c r="GC1773" s="1"/>
      <c r="GD1773" s="1"/>
      <c r="GE1773" s="1"/>
      <c r="GF1773" s="1"/>
      <c r="GG1773" s="1"/>
      <c r="GH1773" s="1"/>
      <c r="GI1773" s="1"/>
      <c r="GJ1773" s="1"/>
      <c r="GK1773" s="1"/>
      <c r="GL1773" s="1"/>
      <c r="GM1773" s="1"/>
      <c r="GN1773" s="1"/>
      <c r="GO1773" s="1"/>
      <c r="GP1773" s="1"/>
      <c r="GQ1773" s="1"/>
      <c r="GR1773" s="1"/>
      <c r="GS1773" s="1"/>
      <c r="GT1773" s="1"/>
      <c r="GU1773" s="1"/>
      <c r="GV1773" s="1"/>
      <c r="GW1773" s="1"/>
      <c r="GX1773" s="1"/>
      <c r="GY1773" s="1"/>
      <c r="GZ1773" s="1"/>
      <c r="HA1773" s="1"/>
      <c r="HB1773" s="1"/>
      <c r="HC1773" s="1"/>
      <c r="HD1773" s="1"/>
      <c r="HE1773" s="1"/>
      <c r="HF1773" s="1"/>
      <c r="HG1773" s="1"/>
      <c r="HH1773" s="1"/>
    </row>
    <row r="1774" spans="1:216" x14ac:dyDescent="0.3">
      <c r="A1774" s="3"/>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c r="EF1774" s="1"/>
      <c r="EG1774" s="1"/>
      <c r="EH1774" s="1"/>
      <c r="EI1774" s="1"/>
      <c r="EJ1774" s="1"/>
      <c r="EK1774" s="1"/>
      <c r="EL1774" s="1"/>
      <c r="EM1774" s="1"/>
      <c r="EN1774" s="1"/>
      <c r="EO1774" s="1"/>
      <c r="EP1774" s="1"/>
      <c r="EQ1774" s="1"/>
      <c r="ER1774" s="1"/>
      <c r="ES1774" s="1"/>
      <c r="ET1774" s="1"/>
      <c r="EU1774" s="1"/>
      <c r="EV1774" s="1"/>
      <c r="EW1774" s="1"/>
      <c r="EX1774" s="1"/>
      <c r="EY1774" s="1"/>
      <c r="EZ1774" s="1"/>
      <c r="FA1774" s="1"/>
      <c r="FB1774" s="1"/>
      <c r="FC1774" s="1"/>
      <c r="FD1774" s="1"/>
      <c r="FE1774" s="1"/>
      <c r="FF1774" s="1"/>
      <c r="FG1774" s="1"/>
      <c r="FH1774" s="1"/>
      <c r="FI1774" s="1"/>
      <c r="FJ1774" s="1"/>
      <c r="FK1774" s="1"/>
      <c r="FL1774" s="1"/>
      <c r="FM1774" s="1"/>
      <c r="FN1774" s="1"/>
      <c r="FO1774" s="1"/>
      <c r="FP1774" s="1"/>
      <c r="FQ1774" s="1"/>
      <c r="FR1774" s="1"/>
      <c r="FS1774" s="1"/>
      <c r="FT1774" s="1"/>
      <c r="FU1774" s="1"/>
      <c r="FV1774" s="1"/>
      <c r="FW1774" s="1"/>
      <c r="FX1774" s="1"/>
      <c r="FY1774" s="1"/>
      <c r="FZ1774" s="1"/>
      <c r="GA1774" s="1"/>
      <c r="GB1774" s="1"/>
      <c r="GC1774" s="1"/>
      <c r="GD1774" s="1"/>
      <c r="GE1774" s="1"/>
      <c r="GF1774" s="1"/>
      <c r="GG1774" s="1"/>
      <c r="GH1774" s="1"/>
      <c r="GI1774" s="1"/>
      <c r="GJ1774" s="1"/>
      <c r="GK1774" s="1"/>
      <c r="GL1774" s="1"/>
      <c r="GM1774" s="1"/>
      <c r="GN1774" s="1"/>
      <c r="GO1774" s="1"/>
      <c r="GP1774" s="1"/>
      <c r="GQ1774" s="1"/>
      <c r="GR1774" s="1"/>
      <c r="GS1774" s="1"/>
      <c r="GT1774" s="1"/>
      <c r="GU1774" s="1"/>
      <c r="GV1774" s="1"/>
      <c r="GW1774" s="1"/>
      <c r="GX1774" s="1"/>
      <c r="GY1774" s="1"/>
      <c r="GZ1774" s="1"/>
      <c r="HA1774" s="1"/>
      <c r="HB1774" s="1"/>
      <c r="HC1774" s="1"/>
      <c r="HD1774" s="1"/>
      <c r="HE1774" s="1"/>
      <c r="HF1774" s="1"/>
      <c r="HG1774" s="1"/>
      <c r="HH1774" s="1"/>
    </row>
    <row r="1775" spans="1:216" x14ac:dyDescent="0.3">
      <c r="A1775" s="3"/>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c r="EF1775" s="1"/>
      <c r="EG1775" s="1"/>
      <c r="EH1775" s="1"/>
      <c r="EI1775" s="1"/>
      <c r="EJ1775" s="1"/>
      <c r="EK1775" s="1"/>
      <c r="EL1775" s="1"/>
      <c r="EM1775" s="1"/>
      <c r="EN1775" s="1"/>
      <c r="EO1775" s="1"/>
      <c r="EP1775" s="1"/>
      <c r="EQ1775" s="1"/>
      <c r="ER1775" s="1"/>
      <c r="ES1775" s="1"/>
      <c r="ET1775" s="1"/>
      <c r="EU1775" s="1"/>
      <c r="EV1775" s="1"/>
      <c r="EW1775" s="1"/>
      <c r="EX1775" s="1"/>
      <c r="EY1775" s="1"/>
      <c r="EZ1775" s="1"/>
      <c r="FA1775" s="1"/>
      <c r="FB1775" s="1"/>
      <c r="FC1775" s="1"/>
      <c r="FD1775" s="1"/>
      <c r="FE1775" s="1"/>
      <c r="FF1775" s="1"/>
      <c r="FG1775" s="1"/>
      <c r="FH1775" s="1"/>
      <c r="FI1775" s="1"/>
      <c r="FJ1775" s="1"/>
      <c r="FK1775" s="1"/>
      <c r="FL1775" s="1"/>
      <c r="FM1775" s="1"/>
      <c r="FN1775" s="1"/>
      <c r="FO1775" s="1"/>
      <c r="FP1775" s="1"/>
      <c r="FQ1775" s="1"/>
      <c r="FR1775" s="1"/>
      <c r="FS1775" s="1"/>
      <c r="FT1775" s="1"/>
      <c r="FU1775" s="1"/>
      <c r="FV1775" s="1"/>
      <c r="FW1775" s="1"/>
      <c r="FX1775" s="1"/>
      <c r="FY1775" s="1"/>
      <c r="FZ1775" s="1"/>
      <c r="GA1775" s="1"/>
      <c r="GB1775" s="1"/>
      <c r="GC1775" s="1"/>
      <c r="GD1775" s="1"/>
      <c r="GE1775" s="1"/>
      <c r="GF1775" s="1"/>
      <c r="GG1775" s="1"/>
      <c r="GH1775" s="1"/>
      <c r="GI1775" s="1"/>
      <c r="GJ1775" s="1"/>
      <c r="GK1775" s="1"/>
      <c r="GL1775" s="1"/>
      <c r="GM1775" s="1"/>
      <c r="GN1775" s="1"/>
      <c r="GO1775" s="1"/>
      <c r="GP1775" s="1"/>
      <c r="GQ1775" s="1"/>
      <c r="GR1775" s="1"/>
      <c r="GS1775" s="1"/>
      <c r="GT1775" s="1"/>
      <c r="GU1775" s="1"/>
      <c r="GV1775" s="1"/>
      <c r="GW1775" s="1"/>
      <c r="GX1775" s="1"/>
      <c r="GY1775" s="1"/>
      <c r="GZ1775" s="1"/>
      <c r="HA1775" s="1"/>
      <c r="HB1775" s="1"/>
      <c r="HC1775" s="1"/>
      <c r="HD1775" s="1"/>
      <c r="HE1775" s="1"/>
      <c r="HF1775" s="1"/>
      <c r="HG1775" s="1"/>
      <c r="HH1775" s="1"/>
    </row>
    <row r="1776" spans="1:216" x14ac:dyDescent="0.3">
      <c r="A1776" s="3"/>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c r="EF1776" s="1"/>
      <c r="EG1776" s="1"/>
      <c r="EH1776" s="1"/>
      <c r="EI1776" s="1"/>
      <c r="EJ1776" s="1"/>
      <c r="EK1776" s="1"/>
      <c r="EL1776" s="1"/>
      <c r="EM1776" s="1"/>
      <c r="EN1776" s="1"/>
      <c r="EO1776" s="1"/>
      <c r="EP1776" s="1"/>
      <c r="EQ1776" s="1"/>
      <c r="ER1776" s="1"/>
      <c r="ES1776" s="1"/>
      <c r="ET1776" s="1"/>
      <c r="EU1776" s="1"/>
      <c r="EV1776" s="1"/>
      <c r="EW1776" s="1"/>
      <c r="EX1776" s="1"/>
      <c r="EY1776" s="1"/>
      <c r="EZ1776" s="1"/>
      <c r="FA1776" s="1"/>
      <c r="FB1776" s="1"/>
      <c r="FC1776" s="1"/>
      <c r="FD1776" s="1"/>
      <c r="FE1776" s="1"/>
      <c r="FF1776" s="1"/>
      <c r="FG1776" s="1"/>
      <c r="FH1776" s="1"/>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c r="GL1776" s="1"/>
      <c r="GM1776" s="1"/>
      <c r="GN1776" s="1"/>
      <c r="GO1776" s="1"/>
      <c r="GP1776" s="1"/>
      <c r="GQ1776" s="1"/>
      <c r="GR1776" s="1"/>
      <c r="GS1776" s="1"/>
      <c r="GT1776" s="1"/>
      <c r="GU1776" s="1"/>
      <c r="GV1776" s="1"/>
      <c r="GW1776" s="1"/>
      <c r="GX1776" s="1"/>
      <c r="GY1776" s="1"/>
      <c r="GZ1776" s="1"/>
      <c r="HA1776" s="1"/>
      <c r="HB1776" s="1"/>
      <c r="HC1776" s="1"/>
      <c r="HD1776" s="1"/>
      <c r="HE1776" s="1"/>
      <c r="HF1776" s="1"/>
      <c r="HG1776" s="1"/>
      <c r="HH1776" s="1"/>
    </row>
    <row r="1777" spans="1:216" x14ac:dyDescent="0.3">
      <c r="A1777" s="3"/>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c r="EF1777" s="1"/>
      <c r="EG1777" s="1"/>
      <c r="EH1777" s="1"/>
      <c r="EI1777" s="1"/>
      <c r="EJ1777" s="1"/>
      <c r="EK1777" s="1"/>
      <c r="EL1777" s="1"/>
      <c r="EM1777" s="1"/>
      <c r="EN1777" s="1"/>
      <c r="EO1777" s="1"/>
      <c r="EP1777" s="1"/>
      <c r="EQ1777" s="1"/>
      <c r="ER1777" s="1"/>
      <c r="ES1777" s="1"/>
      <c r="ET1777" s="1"/>
      <c r="EU1777" s="1"/>
      <c r="EV1777" s="1"/>
      <c r="EW1777" s="1"/>
      <c r="EX1777" s="1"/>
      <c r="EY1777" s="1"/>
      <c r="EZ1777" s="1"/>
      <c r="FA1777" s="1"/>
      <c r="FB1777" s="1"/>
      <c r="FC1777" s="1"/>
      <c r="FD1777" s="1"/>
      <c r="FE1777" s="1"/>
      <c r="FF1777" s="1"/>
      <c r="FG1777" s="1"/>
      <c r="FH1777" s="1"/>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c r="GL1777" s="1"/>
      <c r="GM1777" s="1"/>
      <c r="GN1777" s="1"/>
      <c r="GO1777" s="1"/>
      <c r="GP1777" s="1"/>
      <c r="GQ1777" s="1"/>
      <c r="GR1777" s="1"/>
      <c r="GS1777" s="1"/>
      <c r="GT1777" s="1"/>
      <c r="GU1777" s="1"/>
      <c r="GV1777" s="1"/>
      <c r="GW1777" s="1"/>
      <c r="GX1777" s="1"/>
      <c r="GY1777" s="1"/>
      <c r="GZ1777" s="1"/>
      <c r="HA1777" s="1"/>
      <c r="HB1777" s="1"/>
      <c r="HC1777" s="1"/>
      <c r="HD1777" s="1"/>
      <c r="HE1777" s="1"/>
      <c r="HF1777" s="1"/>
      <c r="HG1777" s="1"/>
      <c r="HH1777" s="1"/>
    </row>
    <row r="1778" spans="1:216" x14ac:dyDescent="0.3">
      <c r="A1778" s="3"/>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
      <c r="DQ1778" s="1"/>
      <c r="DR1778" s="1"/>
      <c r="DS1778" s="1"/>
      <c r="DT1778" s="1"/>
      <c r="DU1778" s="1"/>
      <c r="DV1778" s="1"/>
      <c r="DW1778" s="1"/>
      <c r="DX1778" s="1"/>
      <c r="DY1778" s="1"/>
      <c r="DZ1778" s="1"/>
      <c r="EA1778" s="1"/>
      <c r="EB1778" s="1"/>
      <c r="EC1778" s="1"/>
      <c r="ED1778" s="1"/>
      <c r="EE1778" s="1"/>
      <c r="EF1778" s="1"/>
      <c r="EG1778" s="1"/>
      <c r="EH1778" s="1"/>
      <c r="EI1778" s="1"/>
      <c r="EJ1778" s="1"/>
      <c r="EK1778" s="1"/>
      <c r="EL1778" s="1"/>
      <c r="EM1778" s="1"/>
      <c r="EN1778" s="1"/>
      <c r="EO1778" s="1"/>
      <c r="EP1778" s="1"/>
      <c r="EQ1778" s="1"/>
      <c r="ER1778" s="1"/>
      <c r="ES1778" s="1"/>
      <c r="ET1778" s="1"/>
      <c r="EU1778" s="1"/>
      <c r="EV1778" s="1"/>
      <c r="EW1778" s="1"/>
      <c r="EX1778" s="1"/>
      <c r="EY1778" s="1"/>
      <c r="EZ1778" s="1"/>
      <c r="FA1778" s="1"/>
      <c r="FB1778" s="1"/>
      <c r="FC1778" s="1"/>
      <c r="FD1778" s="1"/>
      <c r="FE1778" s="1"/>
      <c r="FF1778" s="1"/>
      <c r="FG1778" s="1"/>
      <c r="FH1778" s="1"/>
      <c r="FI1778" s="1"/>
      <c r="FJ1778" s="1"/>
      <c r="FK1778" s="1"/>
      <c r="FL1778" s="1"/>
      <c r="FM1778" s="1"/>
      <c r="FN1778" s="1"/>
      <c r="FO1778" s="1"/>
      <c r="FP1778" s="1"/>
      <c r="FQ1778" s="1"/>
      <c r="FR1778" s="1"/>
      <c r="FS1778" s="1"/>
      <c r="FT1778" s="1"/>
      <c r="FU1778" s="1"/>
      <c r="FV1778" s="1"/>
      <c r="FW1778" s="1"/>
      <c r="FX1778" s="1"/>
      <c r="FY1778" s="1"/>
      <c r="FZ1778" s="1"/>
      <c r="GA1778" s="1"/>
      <c r="GB1778" s="1"/>
      <c r="GC1778" s="1"/>
      <c r="GD1778" s="1"/>
      <c r="GE1778" s="1"/>
      <c r="GF1778" s="1"/>
      <c r="GG1778" s="1"/>
      <c r="GH1778" s="1"/>
      <c r="GI1778" s="1"/>
      <c r="GJ1778" s="1"/>
      <c r="GK1778" s="1"/>
      <c r="GL1778" s="1"/>
      <c r="GM1778" s="1"/>
      <c r="GN1778" s="1"/>
      <c r="GO1778" s="1"/>
      <c r="GP1778" s="1"/>
      <c r="GQ1778" s="1"/>
      <c r="GR1778" s="1"/>
      <c r="GS1778" s="1"/>
      <c r="GT1778" s="1"/>
      <c r="GU1778" s="1"/>
      <c r="GV1778" s="1"/>
      <c r="GW1778" s="1"/>
      <c r="GX1778" s="1"/>
      <c r="GY1778" s="1"/>
      <c r="GZ1778" s="1"/>
      <c r="HA1778" s="1"/>
      <c r="HB1778" s="1"/>
      <c r="HC1778" s="1"/>
      <c r="HD1778" s="1"/>
      <c r="HE1778" s="1"/>
      <c r="HF1778" s="1"/>
      <c r="HG1778" s="1"/>
      <c r="HH1778" s="1"/>
    </row>
    <row r="1779" spans="1:216" x14ac:dyDescent="0.3">
      <c r="A1779" s="3"/>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c r="EF1779" s="1"/>
      <c r="EG1779" s="1"/>
      <c r="EH1779" s="1"/>
      <c r="EI1779" s="1"/>
      <c r="EJ1779" s="1"/>
      <c r="EK1779" s="1"/>
      <c r="EL1779" s="1"/>
      <c r="EM1779" s="1"/>
      <c r="EN1779" s="1"/>
      <c r="EO1779" s="1"/>
      <c r="EP1779" s="1"/>
      <c r="EQ1779" s="1"/>
      <c r="ER1779" s="1"/>
      <c r="ES1779" s="1"/>
      <c r="ET1779" s="1"/>
      <c r="EU1779" s="1"/>
      <c r="EV1779" s="1"/>
      <c r="EW1779" s="1"/>
      <c r="EX1779" s="1"/>
      <c r="EY1779" s="1"/>
      <c r="EZ1779" s="1"/>
      <c r="FA1779" s="1"/>
      <c r="FB1779" s="1"/>
      <c r="FC1779" s="1"/>
      <c r="FD1779" s="1"/>
      <c r="FE1779" s="1"/>
      <c r="FF1779" s="1"/>
      <c r="FG1779" s="1"/>
      <c r="FH1779" s="1"/>
      <c r="FI1779" s="1"/>
      <c r="FJ1779" s="1"/>
      <c r="FK1779" s="1"/>
      <c r="FL1779" s="1"/>
      <c r="FM1779" s="1"/>
      <c r="FN1779" s="1"/>
      <c r="FO1779" s="1"/>
      <c r="FP1779" s="1"/>
      <c r="FQ1779" s="1"/>
      <c r="FR1779" s="1"/>
      <c r="FS1779" s="1"/>
      <c r="FT1779" s="1"/>
      <c r="FU1779" s="1"/>
      <c r="FV1779" s="1"/>
      <c r="FW1779" s="1"/>
      <c r="FX1779" s="1"/>
      <c r="FY1779" s="1"/>
      <c r="FZ1779" s="1"/>
      <c r="GA1779" s="1"/>
      <c r="GB1779" s="1"/>
      <c r="GC1779" s="1"/>
      <c r="GD1779" s="1"/>
      <c r="GE1779" s="1"/>
      <c r="GF1779" s="1"/>
      <c r="GG1779" s="1"/>
      <c r="GH1779" s="1"/>
      <c r="GI1779" s="1"/>
      <c r="GJ1779" s="1"/>
      <c r="GK1779" s="1"/>
      <c r="GL1779" s="1"/>
      <c r="GM1779" s="1"/>
      <c r="GN1779" s="1"/>
      <c r="GO1779" s="1"/>
      <c r="GP1779" s="1"/>
      <c r="GQ1779" s="1"/>
      <c r="GR1779" s="1"/>
      <c r="GS1779" s="1"/>
      <c r="GT1779" s="1"/>
      <c r="GU1779" s="1"/>
      <c r="GV1779" s="1"/>
      <c r="GW1779" s="1"/>
      <c r="GX1779" s="1"/>
      <c r="GY1779" s="1"/>
      <c r="GZ1779" s="1"/>
      <c r="HA1779" s="1"/>
      <c r="HB1779" s="1"/>
      <c r="HC1779" s="1"/>
      <c r="HD1779" s="1"/>
      <c r="HE1779" s="1"/>
      <c r="HF1779" s="1"/>
      <c r="HG1779" s="1"/>
      <c r="HH1779" s="1"/>
    </row>
    <row r="1780" spans="1:216" x14ac:dyDescent="0.3">
      <c r="A1780" s="3"/>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c r="EF1780" s="1"/>
      <c r="EG1780" s="1"/>
      <c r="EH1780" s="1"/>
      <c r="EI1780" s="1"/>
      <c r="EJ1780" s="1"/>
      <c r="EK1780" s="1"/>
      <c r="EL1780" s="1"/>
      <c r="EM1780" s="1"/>
      <c r="EN1780" s="1"/>
      <c r="EO1780" s="1"/>
      <c r="EP1780" s="1"/>
      <c r="EQ1780" s="1"/>
      <c r="ER1780" s="1"/>
      <c r="ES1780" s="1"/>
      <c r="ET1780" s="1"/>
      <c r="EU1780" s="1"/>
      <c r="EV1780" s="1"/>
      <c r="EW1780" s="1"/>
      <c r="EX1780" s="1"/>
      <c r="EY1780" s="1"/>
      <c r="EZ1780" s="1"/>
      <c r="FA1780" s="1"/>
      <c r="FB1780" s="1"/>
      <c r="FC1780" s="1"/>
      <c r="FD1780" s="1"/>
      <c r="FE1780" s="1"/>
      <c r="FF1780" s="1"/>
      <c r="FG1780" s="1"/>
      <c r="FH1780" s="1"/>
      <c r="FI1780" s="1"/>
      <c r="FJ1780" s="1"/>
      <c r="FK1780" s="1"/>
      <c r="FL1780" s="1"/>
      <c r="FM1780" s="1"/>
      <c r="FN1780" s="1"/>
      <c r="FO1780" s="1"/>
      <c r="FP1780" s="1"/>
      <c r="FQ1780" s="1"/>
      <c r="FR1780" s="1"/>
      <c r="FS1780" s="1"/>
      <c r="FT1780" s="1"/>
      <c r="FU1780" s="1"/>
      <c r="FV1780" s="1"/>
      <c r="FW1780" s="1"/>
      <c r="FX1780" s="1"/>
      <c r="FY1780" s="1"/>
      <c r="FZ1780" s="1"/>
      <c r="GA1780" s="1"/>
      <c r="GB1780" s="1"/>
      <c r="GC1780" s="1"/>
      <c r="GD1780" s="1"/>
      <c r="GE1780" s="1"/>
      <c r="GF1780" s="1"/>
      <c r="GG1780" s="1"/>
      <c r="GH1780" s="1"/>
      <c r="GI1780" s="1"/>
      <c r="GJ1780" s="1"/>
      <c r="GK1780" s="1"/>
      <c r="GL1780" s="1"/>
      <c r="GM1780" s="1"/>
      <c r="GN1780" s="1"/>
      <c r="GO1780" s="1"/>
      <c r="GP1780" s="1"/>
      <c r="GQ1780" s="1"/>
      <c r="GR1780" s="1"/>
      <c r="GS1780" s="1"/>
      <c r="GT1780" s="1"/>
      <c r="GU1780" s="1"/>
      <c r="GV1780" s="1"/>
      <c r="GW1780" s="1"/>
      <c r="GX1780" s="1"/>
      <c r="GY1780" s="1"/>
      <c r="GZ1780" s="1"/>
      <c r="HA1780" s="1"/>
      <c r="HB1780" s="1"/>
      <c r="HC1780" s="1"/>
      <c r="HD1780" s="1"/>
      <c r="HE1780" s="1"/>
      <c r="HF1780" s="1"/>
      <c r="HG1780" s="1"/>
      <c r="HH1780" s="1"/>
    </row>
    <row r="1781" spans="1:216" x14ac:dyDescent="0.3">
      <c r="A1781" s="3"/>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c r="EF1781" s="1"/>
      <c r="EG1781" s="1"/>
      <c r="EH1781" s="1"/>
      <c r="EI1781" s="1"/>
      <c r="EJ1781" s="1"/>
      <c r="EK1781" s="1"/>
      <c r="EL1781" s="1"/>
      <c r="EM1781" s="1"/>
      <c r="EN1781" s="1"/>
      <c r="EO1781" s="1"/>
      <c r="EP1781" s="1"/>
      <c r="EQ1781" s="1"/>
      <c r="ER1781" s="1"/>
      <c r="ES1781" s="1"/>
      <c r="ET1781" s="1"/>
      <c r="EU1781" s="1"/>
      <c r="EV1781" s="1"/>
      <c r="EW1781" s="1"/>
      <c r="EX1781" s="1"/>
      <c r="EY1781" s="1"/>
      <c r="EZ1781" s="1"/>
      <c r="FA1781" s="1"/>
      <c r="FB1781" s="1"/>
      <c r="FC1781" s="1"/>
      <c r="FD1781" s="1"/>
      <c r="FE1781" s="1"/>
      <c r="FF1781" s="1"/>
      <c r="FG1781" s="1"/>
      <c r="FH1781" s="1"/>
      <c r="FI1781" s="1"/>
      <c r="FJ1781" s="1"/>
      <c r="FK1781" s="1"/>
      <c r="FL1781" s="1"/>
      <c r="FM1781" s="1"/>
      <c r="FN1781" s="1"/>
      <c r="FO1781" s="1"/>
      <c r="FP1781" s="1"/>
      <c r="FQ1781" s="1"/>
      <c r="FR1781" s="1"/>
      <c r="FS1781" s="1"/>
      <c r="FT1781" s="1"/>
      <c r="FU1781" s="1"/>
      <c r="FV1781" s="1"/>
      <c r="FW1781" s="1"/>
      <c r="FX1781" s="1"/>
      <c r="FY1781" s="1"/>
      <c r="FZ1781" s="1"/>
      <c r="GA1781" s="1"/>
      <c r="GB1781" s="1"/>
      <c r="GC1781" s="1"/>
      <c r="GD1781" s="1"/>
      <c r="GE1781" s="1"/>
      <c r="GF1781" s="1"/>
      <c r="GG1781" s="1"/>
      <c r="GH1781" s="1"/>
      <c r="GI1781" s="1"/>
      <c r="GJ1781" s="1"/>
      <c r="GK1781" s="1"/>
      <c r="GL1781" s="1"/>
      <c r="GM1781" s="1"/>
      <c r="GN1781" s="1"/>
      <c r="GO1781" s="1"/>
      <c r="GP1781" s="1"/>
      <c r="GQ1781" s="1"/>
      <c r="GR1781" s="1"/>
      <c r="GS1781" s="1"/>
      <c r="GT1781" s="1"/>
      <c r="GU1781" s="1"/>
      <c r="GV1781" s="1"/>
      <c r="GW1781" s="1"/>
      <c r="GX1781" s="1"/>
      <c r="GY1781" s="1"/>
      <c r="GZ1781" s="1"/>
      <c r="HA1781" s="1"/>
      <c r="HB1781" s="1"/>
      <c r="HC1781" s="1"/>
      <c r="HD1781" s="1"/>
      <c r="HE1781" s="1"/>
      <c r="HF1781" s="1"/>
      <c r="HG1781" s="1"/>
      <c r="HH1781" s="1"/>
    </row>
    <row r="1782" spans="1:216" x14ac:dyDescent="0.3">
      <c r="A1782" s="3"/>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c r="EF1782" s="1"/>
      <c r="EG1782" s="1"/>
      <c r="EH1782" s="1"/>
      <c r="EI1782" s="1"/>
      <c r="EJ1782" s="1"/>
      <c r="EK1782" s="1"/>
      <c r="EL1782" s="1"/>
      <c r="EM1782" s="1"/>
      <c r="EN1782" s="1"/>
      <c r="EO1782" s="1"/>
      <c r="EP1782" s="1"/>
      <c r="EQ1782" s="1"/>
      <c r="ER1782" s="1"/>
      <c r="ES1782" s="1"/>
      <c r="ET1782" s="1"/>
      <c r="EU1782" s="1"/>
      <c r="EV1782" s="1"/>
      <c r="EW1782" s="1"/>
      <c r="EX1782" s="1"/>
      <c r="EY1782" s="1"/>
      <c r="EZ1782" s="1"/>
      <c r="FA1782" s="1"/>
      <c r="FB1782" s="1"/>
      <c r="FC1782" s="1"/>
      <c r="FD1782" s="1"/>
      <c r="FE1782" s="1"/>
      <c r="FF1782" s="1"/>
      <c r="FG1782" s="1"/>
      <c r="FH1782" s="1"/>
      <c r="FI1782" s="1"/>
      <c r="FJ1782" s="1"/>
      <c r="FK1782" s="1"/>
      <c r="FL1782" s="1"/>
      <c r="FM1782" s="1"/>
      <c r="FN1782" s="1"/>
      <c r="FO1782" s="1"/>
      <c r="FP1782" s="1"/>
      <c r="FQ1782" s="1"/>
      <c r="FR1782" s="1"/>
      <c r="FS1782" s="1"/>
      <c r="FT1782" s="1"/>
      <c r="FU1782" s="1"/>
      <c r="FV1782" s="1"/>
      <c r="FW1782" s="1"/>
      <c r="FX1782" s="1"/>
      <c r="FY1782" s="1"/>
      <c r="FZ1782" s="1"/>
      <c r="GA1782" s="1"/>
      <c r="GB1782" s="1"/>
      <c r="GC1782" s="1"/>
      <c r="GD1782" s="1"/>
      <c r="GE1782" s="1"/>
      <c r="GF1782" s="1"/>
      <c r="GG1782" s="1"/>
      <c r="GH1782" s="1"/>
      <c r="GI1782" s="1"/>
      <c r="GJ1782" s="1"/>
      <c r="GK1782" s="1"/>
      <c r="GL1782" s="1"/>
      <c r="GM1782" s="1"/>
      <c r="GN1782" s="1"/>
      <c r="GO1782" s="1"/>
      <c r="GP1782" s="1"/>
      <c r="GQ1782" s="1"/>
      <c r="GR1782" s="1"/>
      <c r="GS1782" s="1"/>
      <c r="GT1782" s="1"/>
      <c r="GU1782" s="1"/>
      <c r="GV1782" s="1"/>
      <c r="GW1782" s="1"/>
      <c r="GX1782" s="1"/>
      <c r="GY1782" s="1"/>
      <c r="GZ1782" s="1"/>
      <c r="HA1782" s="1"/>
      <c r="HB1782" s="1"/>
      <c r="HC1782" s="1"/>
      <c r="HD1782" s="1"/>
      <c r="HE1782" s="1"/>
      <c r="HF1782" s="1"/>
      <c r="HG1782" s="1"/>
      <c r="HH1782" s="1"/>
    </row>
    <row r="1783" spans="1:216" x14ac:dyDescent="0.3">
      <c r="A1783" s="3"/>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c r="EA1783" s="1"/>
      <c r="EB1783" s="1"/>
      <c r="EC1783" s="1"/>
      <c r="ED1783" s="1"/>
      <c r="EE1783" s="1"/>
      <c r="EF1783" s="1"/>
      <c r="EG1783" s="1"/>
      <c r="EH1783" s="1"/>
      <c r="EI1783" s="1"/>
      <c r="EJ1783" s="1"/>
      <c r="EK1783" s="1"/>
      <c r="EL1783" s="1"/>
      <c r="EM1783" s="1"/>
      <c r="EN1783" s="1"/>
      <c r="EO1783" s="1"/>
      <c r="EP1783" s="1"/>
      <c r="EQ1783" s="1"/>
      <c r="ER1783" s="1"/>
      <c r="ES1783" s="1"/>
      <c r="ET1783" s="1"/>
      <c r="EU1783" s="1"/>
      <c r="EV1783" s="1"/>
      <c r="EW1783" s="1"/>
      <c r="EX1783" s="1"/>
      <c r="EY1783" s="1"/>
      <c r="EZ1783" s="1"/>
      <c r="FA1783" s="1"/>
      <c r="FB1783" s="1"/>
      <c r="FC1783" s="1"/>
      <c r="FD1783" s="1"/>
      <c r="FE1783" s="1"/>
      <c r="FF1783" s="1"/>
      <c r="FG1783" s="1"/>
      <c r="FH1783" s="1"/>
      <c r="FI1783" s="1"/>
      <c r="FJ1783" s="1"/>
      <c r="FK1783" s="1"/>
      <c r="FL1783" s="1"/>
      <c r="FM1783" s="1"/>
      <c r="FN1783" s="1"/>
      <c r="FO1783" s="1"/>
      <c r="FP1783" s="1"/>
      <c r="FQ1783" s="1"/>
      <c r="FR1783" s="1"/>
      <c r="FS1783" s="1"/>
      <c r="FT1783" s="1"/>
      <c r="FU1783" s="1"/>
      <c r="FV1783" s="1"/>
      <c r="FW1783" s="1"/>
      <c r="FX1783" s="1"/>
      <c r="FY1783" s="1"/>
      <c r="FZ1783" s="1"/>
      <c r="GA1783" s="1"/>
      <c r="GB1783" s="1"/>
      <c r="GC1783" s="1"/>
      <c r="GD1783" s="1"/>
      <c r="GE1783" s="1"/>
      <c r="GF1783" s="1"/>
      <c r="GG1783" s="1"/>
      <c r="GH1783" s="1"/>
      <c r="GI1783" s="1"/>
      <c r="GJ1783" s="1"/>
      <c r="GK1783" s="1"/>
      <c r="GL1783" s="1"/>
      <c r="GM1783" s="1"/>
      <c r="GN1783" s="1"/>
      <c r="GO1783" s="1"/>
      <c r="GP1783" s="1"/>
      <c r="GQ1783" s="1"/>
      <c r="GR1783" s="1"/>
      <c r="GS1783" s="1"/>
      <c r="GT1783" s="1"/>
      <c r="GU1783" s="1"/>
      <c r="GV1783" s="1"/>
      <c r="GW1783" s="1"/>
      <c r="GX1783" s="1"/>
      <c r="GY1783" s="1"/>
      <c r="GZ1783" s="1"/>
      <c r="HA1783" s="1"/>
      <c r="HB1783" s="1"/>
      <c r="HC1783" s="1"/>
      <c r="HD1783" s="1"/>
      <c r="HE1783" s="1"/>
      <c r="HF1783" s="1"/>
      <c r="HG1783" s="1"/>
      <c r="HH1783" s="1"/>
    </row>
    <row r="1784" spans="1:216" x14ac:dyDescent="0.3">
      <c r="A1784" s="3"/>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c r="EF1784" s="1"/>
      <c r="EG1784" s="1"/>
      <c r="EH1784" s="1"/>
      <c r="EI1784" s="1"/>
      <c r="EJ1784" s="1"/>
      <c r="EK1784" s="1"/>
      <c r="EL1784" s="1"/>
      <c r="EM1784" s="1"/>
      <c r="EN1784" s="1"/>
      <c r="EO1784" s="1"/>
      <c r="EP1784" s="1"/>
      <c r="EQ1784" s="1"/>
      <c r="ER1784" s="1"/>
      <c r="ES1784" s="1"/>
      <c r="ET1784" s="1"/>
      <c r="EU1784" s="1"/>
      <c r="EV1784" s="1"/>
      <c r="EW1784" s="1"/>
      <c r="EX1784" s="1"/>
      <c r="EY1784" s="1"/>
      <c r="EZ1784" s="1"/>
      <c r="FA1784" s="1"/>
      <c r="FB1784" s="1"/>
      <c r="FC1784" s="1"/>
      <c r="FD1784" s="1"/>
      <c r="FE1784" s="1"/>
      <c r="FF1784" s="1"/>
      <c r="FG1784" s="1"/>
      <c r="FH1784" s="1"/>
      <c r="FI1784" s="1"/>
      <c r="FJ1784" s="1"/>
      <c r="FK1784" s="1"/>
      <c r="FL1784" s="1"/>
      <c r="FM1784" s="1"/>
      <c r="FN1784" s="1"/>
      <c r="FO1784" s="1"/>
      <c r="FP1784" s="1"/>
      <c r="FQ1784" s="1"/>
      <c r="FR1784" s="1"/>
      <c r="FS1784" s="1"/>
      <c r="FT1784" s="1"/>
      <c r="FU1784" s="1"/>
      <c r="FV1784" s="1"/>
      <c r="FW1784" s="1"/>
      <c r="FX1784" s="1"/>
      <c r="FY1784" s="1"/>
      <c r="FZ1784" s="1"/>
      <c r="GA1784" s="1"/>
      <c r="GB1784" s="1"/>
      <c r="GC1784" s="1"/>
      <c r="GD1784" s="1"/>
      <c r="GE1784" s="1"/>
      <c r="GF1784" s="1"/>
      <c r="GG1784" s="1"/>
      <c r="GH1784" s="1"/>
      <c r="GI1784" s="1"/>
      <c r="GJ1784" s="1"/>
      <c r="GK1784" s="1"/>
      <c r="GL1784" s="1"/>
      <c r="GM1784" s="1"/>
      <c r="GN1784" s="1"/>
      <c r="GO1784" s="1"/>
      <c r="GP1784" s="1"/>
      <c r="GQ1784" s="1"/>
      <c r="GR1784" s="1"/>
      <c r="GS1784" s="1"/>
      <c r="GT1784" s="1"/>
      <c r="GU1784" s="1"/>
      <c r="GV1784" s="1"/>
      <c r="GW1784" s="1"/>
      <c r="GX1784" s="1"/>
      <c r="GY1784" s="1"/>
      <c r="GZ1784" s="1"/>
      <c r="HA1784" s="1"/>
      <c r="HB1784" s="1"/>
      <c r="HC1784" s="1"/>
      <c r="HD1784" s="1"/>
      <c r="HE1784" s="1"/>
      <c r="HF1784" s="1"/>
      <c r="HG1784" s="1"/>
      <c r="HH1784" s="1"/>
    </row>
    <row r="1785" spans="1:216" x14ac:dyDescent="0.3">
      <c r="A1785" s="3"/>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c r="EF1785" s="1"/>
      <c r="EG1785" s="1"/>
      <c r="EH1785" s="1"/>
      <c r="EI1785" s="1"/>
      <c r="EJ1785" s="1"/>
      <c r="EK1785" s="1"/>
      <c r="EL1785" s="1"/>
      <c r="EM1785" s="1"/>
      <c r="EN1785" s="1"/>
      <c r="EO1785" s="1"/>
      <c r="EP1785" s="1"/>
      <c r="EQ1785" s="1"/>
      <c r="ER1785" s="1"/>
      <c r="ES1785" s="1"/>
      <c r="ET1785" s="1"/>
      <c r="EU1785" s="1"/>
      <c r="EV1785" s="1"/>
      <c r="EW1785" s="1"/>
      <c r="EX1785" s="1"/>
      <c r="EY1785" s="1"/>
      <c r="EZ1785" s="1"/>
      <c r="FA1785" s="1"/>
      <c r="FB1785" s="1"/>
      <c r="FC1785" s="1"/>
      <c r="FD1785" s="1"/>
      <c r="FE1785" s="1"/>
      <c r="FF1785" s="1"/>
      <c r="FG1785" s="1"/>
      <c r="FH1785" s="1"/>
      <c r="FI1785" s="1"/>
      <c r="FJ1785" s="1"/>
      <c r="FK1785" s="1"/>
      <c r="FL1785" s="1"/>
      <c r="FM1785" s="1"/>
      <c r="FN1785" s="1"/>
      <c r="FO1785" s="1"/>
      <c r="FP1785" s="1"/>
      <c r="FQ1785" s="1"/>
      <c r="FR1785" s="1"/>
      <c r="FS1785" s="1"/>
      <c r="FT1785" s="1"/>
      <c r="FU1785" s="1"/>
      <c r="FV1785" s="1"/>
      <c r="FW1785" s="1"/>
      <c r="FX1785" s="1"/>
      <c r="FY1785" s="1"/>
      <c r="FZ1785" s="1"/>
      <c r="GA1785" s="1"/>
      <c r="GB1785" s="1"/>
      <c r="GC1785" s="1"/>
      <c r="GD1785" s="1"/>
      <c r="GE1785" s="1"/>
      <c r="GF1785" s="1"/>
      <c r="GG1785" s="1"/>
      <c r="GH1785" s="1"/>
      <c r="GI1785" s="1"/>
      <c r="GJ1785" s="1"/>
      <c r="GK1785" s="1"/>
      <c r="GL1785" s="1"/>
      <c r="GM1785" s="1"/>
      <c r="GN1785" s="1"/>
      <c r="GO1785" s="1"/>
      <c r="GP1785" s="1"/>
      <c r="GQ1785" s="1"/>
      <c r="GR1785" s="1"/>
      <c r="GS1785" s="1"/>
      <c r="GT1785" s="1"/>
      <c r="GU1785" s="1"/>
      <c r="GV1785" s="1"/>
      <c r="GW1785" s="1"/>
      <c r="GX1785" s="1"/>
      <c r="GY1785" s="1"/>
      <c r="GZ1785" s="1"/>
      <c r="HA1785" s="1"/>
      <c r="HB1785" s="1"/>
      <c r="HC1785" s="1"/>
      <c r="HD1785" s="1"/>
      <c r="HE1785" s="1"/>
      <c r="HF1785" s="1"/>
      <c r="HG1785" s="1"/>
      <c r="HH1785" s="1"/>
    </row>
    <row r="1786" spans="1:216" x14ac:dyDescent="0.3">
      <c r="A1786" s="3"/>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c r="EF1786" s="1"/>
      <c r="EG1786" s="1"/>
      <c r="EH1786" s="1"/>
      <c r="EI1786" s="1"/>
      <c r="EJ1786" s="1"/>
      <c r="EK1786" s="1"/>
      <c r="EL1786" s="1"/>
      <c r="EM1786" s="1"/>
      <c r="EN1786" s="1"/>
      <c r="EO1786" s="1"/>
      <c r="EP1786" s="1"/>
      <c r="EQ1786" s="1"/>
      <c r="ER1786" s="1"/>
      <c r="ES1786" s="1"/>
      <c r="ET1786" s="1"/>
      <c r="EU1786" s="1"/>
      <c r="EV1786" s="1"/>
      <c r="EW1786" s="1"/>
      <c r="EX1786" s="1"/>
      <c r="EY1786" s="1"/>
      <c r="EZ1786" s="1"/>
      <c r="FA1786" s="1"/>
      <c r="FB1786" s="1"/>
      <c r="FC1786" s="1"/>
      <c r="FD1786" s="1"/>
      <c r="FE1786" s="1"/>
      <c r="FF1786" s="1"/>
      <c r="FG1786" s="1"/>
      <c r="FH1786" s="1"/>
      <c r="FI1786" s="1"/>
      <c r="FJ1786" s="1"/>
      <c r="FK1786" s="1"/>
      <c r="FL1786" s="1"/>
      <c r="FM1786" s="1"/>
      <c r="FN1786" s="1"/>
      <c r="FO1786" s="1"/>
      <c r="FP1786" s="1"/>
      <c r="FQ1786" s="1"/>
      <c r="FR1786" s="1"/>
      <c r="FS1786" s="1"/>
      <c r="FT1786" s="1"/>
      <c r="FU1786" s="1"/>
      <c r="FV1786" s="1"/>
      <c r="FW1786" s="1"/>
      <c r="FX1786" s="1"/>
      <c r="FY1786" s="1"/>
      <c r="FZ1786" s="1"/>
      <c r="GA1786" s="1"/>
      <c r="GB1786" s="1"/>
      <c r="GC1786" s="1"/>
      <c r="GD1786" s="1"/>
      <c r="GE1786" s="1"/>
      <c r="GF1786" s="1"/>
      <c r="GG1786" s="1"/>
      <c r="GH1786" s="1"/>
      <c r="GI1786" s="1"/>
      <c r="GJ1786" s="1"/>
      <c r="GK1786" s="1"/>
      <c r="GL1786" s="1"/>
      <c r="GM1786" s="1"/>
      <c r="GN1786" s="1"/>
      <c r="GO1786" s="1"/>
      <c r="GP1786" s="1"/>
      <c r="GQ1786" s="1"/>
      <c r="GR1786" s="1"/>
      <c r="GS1786" s="1"/>
      <c r="GT1786" s="1"/>
      <c r="GU1786" s="1"/>
      <c r="GV1786" s="1"/>
      <c r="GW1786" s="1"/>
      <c r="GX1786" s="1"/>
      <c r="GY1786" s="1"/>
      <c r="GZ1786" s="1"/>
      <c r="HA1786" s="1"/>
      <c r="HB1786" s="1"/>
      <c r="HC1786" s="1"/>
      <c r="HD1786" s="1"/>
      <c r="HE1786" s="1"/>
      <c r="HF1786" s="1"/>
      <c r="HG1786" s="1"/>
      <c r="HH1786" s="1"/>
    </row>
    <row r="1787" spans="1:216" x14ac:dyDescent="0.3">
      <c r="A1787" s="3"/>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c r="EF1787" s="1"/>
      <c r="EG1787" s="1"/>
      <c r="EH1787" s="1"/>
      <c r="EI1787" s="1"/>
      <c r="EJ1787" s="1"/>
      <c r="EK1787" s="1"/>
      <c r="EL1787" s="1"/>
      <c r="EM1787" s="1"/>
      <c r="EN1787" s="1"/>
      <c r="EO1787" s="1"/>
      <c r="EP1787" s="1"/>
      <c r="EQ1787" s="1"/>
      <c r="ER1787" s="1"/>
      <c r="ES1787" s="1"/>
      <c r="ET1787" s="1"/>
      <c r="EU1787" s="1"/>
      <c r="EV1787" s="1"/>
      <c r="EW1787" s="1"/>
      <c r="EX1787" s="1"/>
      <c r="EY1787" s="1"/>
      <c r="EZ1787" s="1"/>
      <c r="FA1787" s="1"/>
      <c r="FB1787" s="1"/>
      <c r="FC1787" s="1"/>
      <c r="FD1787" s="1"/>
      <c r="FE1787" s="1"/>
      <c r="FF1787" s="1"/>
      <c r="FG1787" s="1"/>
      <c r="FH1787" s="1"/>
      <c r="FI1787" s="1"/>
      <c r="FJ1787" s="1"/>
      <c r="FK1787" s="1"/>
      <c r="FL1787" s="1"/>
      <c r="FM1787" s="1"/>
      <c r="FN1787" s="1"/>
      <c r="FO1787" s="1"/>
      <c r="FP1787" s="1"/>
      <c r="FQ1787" s="1"/>
      <c r="FR1787" s="1"/>
      <c r="FS1787" s="1"/>
      <c r="FT1787" s="1"/>
      <c r="FU1787" s="1"/>
      <c r="FV1787" s="1"/>
      <c r="FW1787" s="1"/>
      <c r="FX1787" s="1"/>
      <c r="FY1787" s="1"/>
      <c r="FZ1787" s="1"/>
      <c r="GA1787" s="1"/>
      <c r="GB1787" s="1"/>
      <c r="GC1787" s="1"/>
      <c r="GD1787" s="1"/>
      <c r="GE1787" s="1"/>
      <c r="GF1787" s="1"/>
      <c r="GG1787" s="1"/>
      <c r="GH1787" s="1"/>
      <c r="GI1787" s="1"/>
      <c r="GJ1787" s="1"/>
      <c r="GK1787" s="1"/>
      <c r="GL1787" s="1"/>
      <c r="GM1787" s="1"/>
      <c r="GN1787" s="1"/>
      <c r="GO1787" s="1"/>
      <c r="GP1787" s="1"/>
      <c r="GQ1787" s="1"/>
      <c r="GR1787" s="1"/>
      <c r="GS1787" s="1"/>
      <c r="GT1787" s="1"/>
      <c r="GU1787" s="1"/>
      <c r="GV1787" s="1"/>
      <c r="GW1787" s="1"/>
      <c r="GX1787" s="1"/>
      <c r="GY1787" s="1"/>
      <c r="GZ1787" s="1"/>
      <c r="HA1787" s="1"/>
      <c r="HB1787" s="1"/>
      <c r="HC1787" s="1"/>
      <c r="HD1787" s="1"/>
      <c r="HE1787" s="1"/>
      <c r="HF1787" s="1"/>
      <c r="HG1787" s="1"/>
      <c r="HH1787" s="1"/>
    </row>
    <row r="1788" spans="1:216" x14ac:dyDescent="0.3">
      <c r="A1788" s="3"/>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c r="EF1788" s="1"/>
      <c r="EG1788" s="1"/>
      <c r="EH1788" s="1"/>
      <c r="EI1788" s="1"/>
      <c r="EJ1788" s="1"/>
      <c r="EK1788" s="1"/>
      <c r="EL1788" s="1"/>
      <c r="EM1788" s="1"/>
      <c r="EN1788" s="1"/>
      <c r="EO1788" s="1"/>
      <c r="EP1788" s="1"/>
      <c r="EQ1788" s="1"/>
      <c r="ER1788" s="1"/>
      <c r="ES1788" s="1"/>
      <c r="ET1788" s="1"/>
      <c r="EU1788" s="1"/>
      <c r="EV1788" s="1"/>
      <c r="EW1788" s="1"/>
      <c r="EX1788" s="1"/>
      <c r="EY1788" s="1"/>
      <c r="EZ1788" s="1"/>
      <c r="FA1788" s="1"/>
      <c r="FB1788" s="1"/>
      <c r="FC1788" s="1"/>
      <c r="FD1788" s="1"/>
      <c r="FE1788" s="1"/>
      <c r="FF1788" s="1"/>
      <c r="FG1788" s="1"/>
      <c r="FH1788" s="1"/>
      <c r="FI1788" s="1"/>
      <c r="FJ1788" s="1"/>
      <c r="FK1788" s="1"/>
      <c r="FL1788" s="1"/>
      <c r="FM1788" s="1"/>
      <c r="FN1788" s="1"/>
      <c r="FO1788" s="1"/>
      <c r="FP1788" s="1"/>
      <c r="FQ1788" s="1"/>
      <c r="FR1788" s="1"/>
      <c r="FS1788" s="1"/>
      <c r="FT1788" s="1"/>
      <c r="FU1788" s="1"/>
      <c r="FV1788" s="1"/>
      <c r="FW1788" s="1"/>
      <c r="FX1788" s="1"/>
      <c r="FY1788" s="1"/>
      <c r="FZ1788" s="1"/>
      <c r="GA1788" s="1"/>
      <c r="GB1788" s="1"/>
      <c r="GC1788" s="1"/>
      <c r="GD1788" s="1"/>
      <c r="GE1788" s="1"/>
      <c r="GF1788" s="1"/>
      <c r="GG1788" s="1"/>
      <c r="GH1788" s="1"/>
      <c r="GI1788" s="1"/>
      <c r="GJ1788" s="1"/>
      <c r="GK1788" s="1"/>
      <c r="GL1788" s="1"/>
      <c r="GM1788" s="1"/>
      <c r="GN1788" s="1"/>
      <c r="GO1788" s="1"/>
      <c r="GP1788" s="1"/>
      <c r="GQ1788" s="1"/>
      <c r="GR1788" s="1"/>
      <c r="GS1788" s="1"/>
      <c r="GT1788" s="1"/>
      <c r="GU1788" s="1"/>
      <c r="GV1788" s="1"/>
      <c r="GW1788" s="1"/>
      <c r="GX1788" s="1"/>
      <c r="GY1788" s="1"/>
      <c r="GZ1788" s="1"/>
      <c r="HA1788" s="1"/>
      <c r="HB1788" s="1"/>
      <c r="HC1788" s="1"/>
      <c r="HD1788" s="1"/>
      <c r="HE1788" s="1"/>
      <c r="HF1788" s="1"/>
      <c r="HG1788" s="1"/>
      <c r="HH1788" s="1"/>
    </row>
    <row r="1789" spans="1:216" x14ac:dyDescent="0.3">
      <c r="A1789" s="3"/>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c r="EF1789" s="1"/>
      <c r="EG1789" s="1"/>
      <c r="EH1789" s="1"/>
      <c r="EI1789" s="1"/>
      <c r="EJ1789" s="1"/>
      <c r="EK1789" s="1"/>
      <c r="EL1789" s="1"/>
      <c r="EM1789" s="1"/>
      <c r="EN1789" s="1"/>
      <c r="EO1789" s="1"/>
      <c r="EP1789" s="1"/>
      <c r="EQ1789" s="1"/>
      <c r="ER1789" s="1"/>
      <c r="ES1789" s="1"/>
      <c r="ET1789" s="1"/>
      <c r="EU1789" s="1"/>
      <c r="EV1789" s="1"/>
      <c r="EW1789" s="1"/>
      <c r="EX1789" s="1"/>
      <c r="EY1789" s="1"/>
      <c r="EZ1789" s="1"/>
      <c r="FA1789" s="1"/>
      <c r="FB1789" s="1"/>
      <c r="FC1789" s="1"/>
      <c r="FD1789" s="1"/>
      <c r="FE1789" s="1"/>
      <c r="FF1789" s="1"/>
      <c r="FG1789" s="1"/>
      <c r="FH1789" s="1"/>
      <c r="FI1789" s="1"/>
      <c r="FJ1789" s="1"/>
      <c r="FK1789" s="1"/>
      <c r="FL1789" s="1"/>
      <c r="FM1789" s="1"/>
      <c r="FN1789" s="1"/>
      <c r="FO1789" s="1"/>
      <c r="FP1789" s="1"/>
      <c r="FQ1789" s="1"/>
      <c r="FR1789" s="1"/>
      <c r="FS1789" s="1"/>
      <c r="FT1789" s="1"/>
      <c r="FU1789" s="1"/>
      <c r="FV1789" s="1"/>
      <c r="FW1789" s="1"/>
      <c r="FX1789" s="1"/>
      <c r="FY1789" s="1"/>
      <c r="FZ1789" s="1"/>
      <c r="GA1789" s="1"/>
      <c r="GB1789" s="1"/>
      <c r="GC1789" s="1"/>
      <c r="GD1789" s="1"/>
      <c r="GE1789" s="1"/>
      <c r="GF1789" s="1"/>
      <c r="GG1789" s="1"/>
      <c r="GH1789" s="1"/>
      <c r="GI1789" s="1"/>
      <c r="GJ1789" s="1"/>
      <c r="GK1789" s="1"/>
      <c r="GL1789" s="1"/>
      <c r="GM1789" s="1"/>
      <c r="GN1789" s="1"/>
      <c r="GO1789" s="1"/>
      <c r="GP1789" s="1"/>
      <c r="GQ1789" s="1"/>
      <c r="GR1789" s="1"/>
      <c r="GS1789" s="1"/>
      <c r="GT1789" s="1"/>
      <c r="GU1789" s="1"/>
      <c r="GV1789" s="1"/>
      <c r="GW1789" s="1"/>
      <c r="GX1789" s="1"/>
      <c r="GY1789" s="1"/>
      <c r="GZ1789" s="1"/>
      <c r="HA1789" s="1"/>
      <c r="HB1789" s="1"/>
      <c r="HC1789" s="1"/>
      <c r="HD1789" s="1"/>
      <c r="HE1789" s="1"/>
      <c r="HF1789" s="1"/>
      <c r="HG1789" s="1"/>
      <c r="HH1789" s="1"/>
    </row>
    <row r="1790" spans="1:216" x14ac:dyDescent="0.3">
      <c r="A1790" s="3"/>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c r="EF1790" s="1"/>
      <c r="EG1790" s="1"/>
      <c r="EH1790" s="1"/>
      <c r="EI1790" s="1"/>
      <c r="EJ1790" s="1"/>
      <c r="EK1790" s="1"/>
      <c r="EL1790" s="1"/>
      <c r="EM1790" s="1"/>
      <c r="EN1790" s="1"/>
      <c r="EO1790" s="1"/>
      <c r="EP1790" s="1"/>
      <c r="EQ1790" s="1"/>
      <c r="ER1790" s="1"/>
      <c r="ES1790" s="1"/>
      <c r="ET1790" s="1"/>
      <c r="EU1790" s="1"/>
      <c r="EV1790" s="1"/>
      <c r="EW1790" s="1"/>
      <c r="EX1790" s="1"/>
      <c r="EY1790" s="1"/>
      <c r="EZ1790" s="1"/>
      <c r="FA1790" s="1"/>
      <c r="FB1790" s="1"/>
      <c r="FC1790" s="1"/>
      <c r="FD1790" s="1"/>
      <c r="FE1790" s="1"/>
      <c r="FF1790" s="1"/>
      <c r="FG1790" s="1"/>
      <c r="FH1790" s="1"/>
      <c r="FI1790" s="1"/>
      <c r="FJ1790" s="1"/>
      <c r="FK1790" s="1"/>
      <c r="FL1790" s="1"/>
      <c r="FM1790" s="1"/>
      <c r="FN1790" s="1"/>
      <c r="FO1790" s="1"/>
      <c r="FP1790" s="1"/>
      <c r="FQ1790" s="1"/>
      <c r="FR1790" s="1"/>
      <c r="FS1790" s="1"/>
      <c r="FT1790" s="1"/>
      <c r="FU1790" s="1"/>
      <c r="FV1790" s="1"/>
      <c r="FW1790" s="1"/>
      <c r="FX1790" s="1"/>
      <c r="FY1790" s="1"/>
      <c r="FZ1790" s="1"/>
      <c r="GA1790" s="1"/>
      <c r="GB1790" s="1"/>
      <c r="GC1790" s="1"/>
      <c r="GD1790" s="1"/>
      <c r="GE1790" s="1"/>
      <c r="GF1790" s="1"/>
      <c r="GG1790" s="1"/>
      <c r="GH1790" s="1"/>
      <c r="GI1790" s="1"/>
      <c r="GJ1790" s="1"/>
      <c r="GK1790" s="1"/>
      <c r="GL1790" s="1"/>
      <c r="GM1790" s="1"/>
      <c r="GN1790" s="1"/>
      <c r="GO1790" s="1"/>
      <c r="GP1790" s="1"/>
      <c r="GQ1790" s="1"/>
      <c r="GR1790" s="1"/>
      <c r="GS1790" s="1"/>
      <c r="GT1790" s="1"/>
      <c r="GU1790" s="1"/>
      <c r="GV1790" s="1"/>
      <c r="GW1790" s="1"/>
      <c r="GX1790" s="1"/>
      <c r="GY1790" s="1"/>
      <c r="GZ1790" s="1"/>
      <c r="HA1790" s="1"/>
      <c r="HB1790" s="1"/>
      <c r="HC1790" s="1"/>
      <c r="HD1790" s="1"/>
      <c r="HE1790" s="1"/>
      <c r="HF1790" s="1"/>
      <c r="HG1790" s="1"/>
      <c r="HH1790" s="1"/>
    </row>
    <row r="1791" spans="1:216" x14ac:dyDescent="0.3">
      <c r="A1791" s="3"/>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row>
    <row r="1792" spans="1:216" x14ac:dyDescent="0.3">
      <c r="A1792" s="3"/>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c r="GL1792" s="1"/>
      <c r="GM1792" s="1"/>
      <c r="GN1792" s="1"/>
      <c r="GO1792" s="1"/>
      <c r="GP1792" s="1"/>
      <c r="GQ1792" s="1"/>
      <c r="GR1792" s="1"/>
      <c r="GS1792" s="1"/>
      <c r="GT1792" s="1"/>
      <c r="GU1792" s="1"/>
      <c r="GV1792" s="1"/>
      <c r="GW1792" s="1"/>
      <c r="GX1792" s="1"/>
      <c r="GY1792" s="1"/>
      <c r="GZ1792" s="1"/>
      <c r="HA1792" s="1"/>
      <c r="HB1792" s="1"/>
      <c r="HC1792" s="1"/>
      <c r="HD1792" s="1"/>
      <c r="HE1792" s="1"/>
      <c r="HF1792" s="1"/>
      <c r="HG1792" s="1"/>
      <c r="HH1792" s="1"/>
    </row>
    <row r="1793" spans="1:216" x14ac:dyDescent="0.3">
      <c r="A1793" s="3"/>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c r="FN1793" s="1"/>
      <c r="FO1793" s="1"/>
      <c r="FP1793" s="1"/>
      <c r="FQ1793" s="1"/>
      <c r="FR1793" s="1"/>
      <c r="FS1793" s="1"/>
      <c r="FT1793" s="1"/>
      <c r="FU1793" s="1"/>
      <c r="FV1793" s="1"/>
      <c r="FW1793" s="1"/>
      <c r="FX1793" s="1"/>
      <c r="FY1793" s="1"/>
      <c r="FZ1793" s="1"/>
      <c r="GA1793" s="1"/>
      <c r="GB1793" s="1"/>
      <c r="GC1793" s="1"/>
      <c r="GD1793" s="1"/>
      <c r="GE1793" s="1"/>
      <c r="GF1793" s="1"/>
      <c r="GG1793" s="1"/>
      <c r="GH1793" s="1"/>
      <c r="GI1793" s="1"/>
      <c r="GJ1793" s="1"/>
      <c r="GK1793" s="1"/>
      <c r="GL1793" s="1"/>
      <c r="GM1793" s="1"/>
      <c r="GN1793" s="1"/>
      <c r="GO1793" s="1"/>
      <c r="GP1793" s="1"/>
      <c r="GQ1793" s="1"/>
      <c r="GR1793" s="1"/>
      <c r="GS1793" s="1"/>
      <c r="GT1793" s="1"/>
      <c r="GU1793" s="1"/>
      <c r="GV1793" s="1"/>
      <c r="GW1793" s="1"/>
      <c r="GX1793" s="1"/>
      <c r="GY1793" s="1"/>
      <c r="GZ1793" s="1"/>
      <c r="HA1793" s="1"/>
      <c r="HB1793" s="1"/>
      <c r="HC1793" s="1"/>
      <c r="HD1793" s="1"/>
      <c r="HE1793" s="1"/>
      <c r="HF1793" s="1"/>
      <c r="HG1793" s="1"/>
      <c r="HH1793" s="1"/>
    </row>
    <row r="1794" spans="1:216" x14ac:dyDescent="0.3">
      <c r="A1794" s="3"/>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c r="EF1794" s="1"/>
      <c r="EG1794" s="1"/>
      <c r="EH1794" s="1"/>
      <c r="EI1794" s="1"/>
      <c r="EJ1794" s="1"/>
      <c r="EK1794" s="1"/>
      <c r="EL1794" s="1"/>
      <c r="EM1794" s="1"/>
      <c r="EN1794" s="1"/>
      <c r="EO1794" s="1"/>
      <c r="EP1794" s="1"/>
      <c r="EQ1794" s="1"/>
      <c r="ER1794" s="1"/>
      <c r="ES1794" s="1"/>
      <c r="ET1794" s="1"/>
      <c r="EU1794" s="1"/>
      <c r="EV1794" s="1"/>
      <c r="EW1794" s="1"/>
      <c r="EX1794" s="1"/>
      <c r="EY1794" s="1"/>
      <c r="EZ1794" s="1"/>
      <c r="FA1794" s="1"/>
      <c r="FB1794" s="1"/>
      <c r="FC1794" s="1"/>
      <c r="FD1794" s="1"/>
      <c r="FE1794" s="1"/>
      <c r="FF1794" s="1"/>
      <c r="FG1794" s="1"/>
      <c r="FH1794" s="1"/>
      <c r="FI1794" s="1"/>
      <c r="FJ1794" s="1"/>
      <c r="FK1794" s="1"/>
      <c r="FL1794" s="1"/>
      <c r="FM1794" s="1"/>
      <c r="FN1794" s="1"/>
      <c r="FO1794" s="1"/>
      <c r="FP1794" s="1"/>
      <c r="FQ1794" s="1"/>
      <c r="FR1794" s="1"/>
      <c r="FS1794" s="1"/>
      <c r="FT1794" s="1"/>
      <c r="FU1794" s="1"/>
      <c r="FV1794" s="1"/>
      <c r="FW1794" s="1"/>
      <c r="FX1794" s="1"/>
      <c r="FY1794" s="1"/>
      <c r="FZ1794" s="1"/>
      <c r="GA1794" s="1"/>
      <c r="GB1794" s="1"/>
      <c r="GC1794" s="1"/>
      <c r="GD1794" s="1"/>
      <c r="GE1794" s="1"/>
      <c r="GF1794" s="1"/>
      <c r="GG1794" s="1"/>
      <c r="GH1794" s="1"/>
      <c r="GI1794" s="1"/>
      <c r="GJ1794" s="1"/>
      <c r="GK1794" s="1"/>
      <c r="GL1794" s="1"/>
      <c r="GM1794" s="1"/>
      <c r="GN1794" s="1"/>
      <c r="GO1794" s="1"/>
      <c r="GP1794" s="1"/>
      <c r="GQ1794" s="1"/>
      <c r="GR1794" s="1"/>
      <c r="GS1794" s="1"/>
      <c r="GT1794" s="1"/>
      <c r="GU1794" s="1"/>
      <c r="GV1794" s="1"/>
      <c r="GW1794" s="1"/>
      <c r="GX1794" s="1"/>
      <c r="GY1794" s="1"/>
      <c r="GZ1794" s="1"/>
      <c r="HA1794" s="1"/>
      <c r="HB1794" s="1"/>
      <c r="HC1794" s="1"/>
      <c r="HD1794" s="1"/>
      <c r="HE1794" s="1"/>
      <c r="HF1794" s="1"/>
      <c r="HG1794" s="1"/>
      <c r="HH1794" s="1"/>
    </row>
    <row r="1795" spans="1:216" x14ac:dyDescent="0.3">
      <c r="A1795" s="3"/>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c r="GL1795" s="1"/>
      <c r="GM1795" s="1"/>
      <c r="GN1795" s="1"/>
      <c r="GO1795" s="1"/>
      <c r="GP1795" s="1"/>
      <c r="GQ1795" s="1"/>
      <c r="GR1795" s="1"/>
      <c r="GS1795" s="1"/>
      <c r="GT1795" s="1"/>
      <c r="GU1795" s="1"/>
      <c r="GV1795" s="1"/>
      <c r="GW1795" s="1"/>
      <c r="GX1795" s="1"/>
      <c r="GY1795" s="1"/>
      <c r="GZ1795" s="1"/>
      <c r="HA1795" s="1"/>
      <c r="HB1795" s="1"/>
      <c r="HC1795" s="1"/>
      <c r="HD1795" s="1"/>
      <c r="HE1795" s="1"/>
      <c r="HF1795" s="1"/>
      <c r="HG1795" s="1"/>
      <c r="HH1795" s="1"/>
    </row>
    <row r="1796" spans="1:216" x14ac:dyDescent="0.3">
      <c r="A1796" s="3"/>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GS1796" s="1"/>
      <c r="GT1796" s="1"/>
      <c r="GU1796" s="1"/>
      <c r="GV1796" s="1"/>
      <c r="GW1796" s="1"/>
      <c r="GX1796" s="1"/>
      <c r="GY1796" s="1"/>
      <c r="GZ1796" s="1"/>
      <c r="HA1796" s="1"/>
      <c r="HB1796" s="1"/>
      <c r="HC1796" s="1"/>
      <c r="HD1796" s="1"/>
      <c r="HE1796" s="1"/>
      <c r="HF1796" s="1"/>
      <c r="HG1796" s="1"/>
      <c r="HH1796" s="1"/>
    </row>
    <row r="1797" spans="1:216" x14ac:dyDescent="0.3">
      <c r="A1797" s="3"/>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GS1797" s="1"/>
      <c r="GT1797" s="1"/>
      <c r="GU1797" s="1"/>
      <c r="GV1797" s="1"/>
      <c r="GW1797" s="1"/>
      <c r="GX1797" s="1"/>
      <c r="GY1797" s="1"/>
      <c r="GZ1797" s="1"/>
      <c r="HA1797" s="1"/>
      <c r="HB1797" s="1"/>
      <c r="HC1797" s="1"/>
      <c r="HD1797" s="1"/>
      <c r="HE1797" s="1"/>
      <c r="HF1797" s="1"/>
      <c r="HG1797" s="1"/>
      <c r="HH1797" s="1"/>
    </row>
    <row r="1798" spans="1:216" x14ac:dyDescent="0.3">
      <c r="A1798" s="3"/>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GS1798" s="1"/>
      <c r="GT1798" s="1"/>
      <c r="GU1798" s="1"/>
      <c r="GV1798" s="1"/>
      <c r="GW1798" s="1"/>
      <c r="GX1798" s="1"/>
      <c r="GY1798" s="1"/>
      <c r="GZ1798" s="1"/>
      <c r="HA1798" s="1"/>
      <c r="HB1798" s="1"/>
      <c r="HC1798" s="1"/>
      <c r="HD1798" s="1"/>
      <c r="HE1798" s="1"/>
      <c r="HF1798" s="1"/>
      <c r="HG1798" s="1"/>
      <c r="HH1798" s="1"/>
    </row>
    <row r="1799" spans="1:216" x14ac:dyDescent="0.3">
      <c r="A1799" s="3"/>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GS1799" s="1"/>
      <c r="GT1799" s="1"/>
      <c r="GU1799" s="1"/>
      <c r="GV1799" s="1"/>
      <c r="GW1799" s="1"/>
      <c r="GX1799" s="1"/>
      <c r="GY1799" s="1"/>
      <c r="GZ1799" s="1"/>
      <c r="HA1799" s="1"/>
      <c r="HB1799" s="1"/>
      <c r="HC1799" s="1"/>
      <c r="HD1799" s="1"/>
      <c r="HE1799" s="1"/>
      <c r="HF1799" s="1"/>
      <c r="HG1799" s="1"/>
      <c r="HH1799" s="1"/>
    </row>
    <row r="1800" spans="1:216" x14ac:dyDescent="0.3">
      <c r="A1800" s="3"/>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c r="GL1800" s="1"/>
      <c r="GM1800" s="1"/>
      <c r="GN1800" s="1"/>
      <c r="GO1800" s="1"/>
      <c r="GP1800" s="1"/>
      <c r="GQ1800" s="1"/>
      <c r="GR1800" s="1"/>
      <c r="GS1800" s="1"/>
      <c r="GT1800" s="1"/>
      <c r="GU1800" s="1"/>
      <c r="GV1800" s="1"/>
      <c r="GW1800" s="1"/>
      <c r="GX1800" s="1"/>
      <c r="GY1800" s="1"/>
      <c r="GZ1800" s="1"/>
      <c r="HA1800" s="1"/>
      <c r="HB1800" s="1"/>
      <c r="HC1800" s="1"/>
      <c r="HD1800" s="1"/>
      <c r="HE1800" s="1"/>
      <c r="HF1800" s="1"/>
      <c r="HG1800" s="1"/>
      <c r="HH1800" s="1"/>
    </row>
    <row r="1801" spans="1:216" x14ac:dyDescent="0.3">
      <c r="A1801" s="3"/>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c r="GL1801" s="1"/>
      <c r="GM1801" s="1"/>
      <c r="GN1801" s="1"/>
      <c r="GO1801" s="1"/>
      <c r="GP1801" s="1"/>
      <c r="GQ1801" s="1"/>
      <c r="GR1801" s="1"/>
      <c r="GS1801" s="1"/>
      <c r="GT1801" s="1"/>
      <c r="GU1801" s="1"/>
      <c r="GV1801" s="1"/>
      <c r="GW1801" s="1"/>
      <c r="GX1801" s="1"/>
      <c r="GY1801" s="1"/>
      <c r="GZ1801" s="1"/>
      <c r="HA1801" s="1"/>
      <c r="HB1801" s="1"/>
      <c r="HC1801" s="1"/>
      <c r="HD1801" s="1"/>
      <c r="HE1801" s="1"/>
      <c r="HF1801" s="1"/>
      <c r="HG1801" s="1"/>
      <c r="HH1801" s="1"/>
    </row>
    <row r="1802" spans="1:216" x14ac:dyDescent="0.3">
      <c r="A1802" s="3"/>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GS1802" s="1"/>
      <c r="GT1802" s="1"/>
      <c r="GU1802" s="1"/>
      <c r="GV1802" s="1"/>
      <c r="GW1802" s="1"/>
      <c r="GX1802" s="1"/>
      <c r="GY1802" s="1"/>
      <c r="GZ1802" s="1"/>
      <c r="HA1802" s="1"/>
      <c r="HB1802" s="1"/>
      <c r="HC1802" s="1"/>
      <c r="HD1802" s="1"/>
      <c r="HE1802" s="1"/>
      <c r="HF1802" s="1"/>
      <c r="HG1802" s="1"/>
      <c r="HH1802" s="1"/>
    </row>
    <row r="1803" spans="1:216" x14ac:dyDescent="0.3">
      <c r="A1803" s="3"/>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GS1803" s="1"/>
      <c r="GT1803" s="1"/>
      <c r="GU1803" s="1"/>
      <c r="GV1803" s="1"/>
      <c r="GW1803" s="1"/>
      <c r="GX1803" s="1"/>
      <c r="GY1803" s="1"/>
      <c r="GZ1803" s="1"/>
      <c r="HA1803" s="1"/>
      <c r="HB1803" s="1"/>
      <c r="HC1803" s="1"/>
      <c r="HD1803" s="1"/>
      <c r="HE1803" s="1"/>
      <c r="HF1803" s="1"/>
      <c r="HG1803" s="1"/>
      <c r="HH1803" s="1"/>
    </row>
    <row r="1804" spans="1:216" x14ac:dyDescent="0.3">
      <c r="A1804" s="3"/>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c r="EF1804" s="1"/>
      <c r="EG1804" s="1"/>
      <c r="EH1804" s="1"/>
      <c r="EI1804" s="1"/>
      <c r="EJ1804" s="1"/>
      <c r="EK1804" s="1"/>
      <c r="EL1804" s="1"/>
      <c r="EM1804" s="1"/>
      <c r="EN1804" s="1"/>
      <c r="EO1804" s="1"/>
      <c r="EP1804" s="1"/>
      <c r="EQ1804" s="1"/>
      <c r="ER1804" s="1"/>
      <c r="ES1804" s="1"/>
      <c r="ET1804" s="1"/>
      <c r="EU1804" s="1"/>
      <c r="EV1804" s="1"/>
      <c r="EW1804" s="1"/>
      <c r="EX1804" s="1"/>
      <c r="EY1804" s="1"/>
      <c r="EZ1804" s="1"/>
      <c r="FA1804" s="1"/>
      <c r="FB1804" s="1"/>
      <c r="FC1804" s="1"/>
      <c r="FD1804" s="1"/>
      <c r="FE1804" s="1"/>
      <c r="FF1804" s="1"/>
      <c r="FG1804" s="1"/>
      <c r="FH1804" s="1"/>
      <c r="FI1804" s="1"/>
      <c r="FJ1804" s="1"/>
      <c r="FK1804" s="1"/>
      <c r="FL1804" s="1"/>
      <c r="FM1804" s="1"/>
      <c r="FN1804" s="1"/>
      <c r="FO1804" s="1"/>
      <c r="FP1804" s="1"/>
      <c r="FQ1804" s="1"/>
      <c r="FR1804" s="1"/>
      <c r="FS1804" s="1"/>
      <c r="FT1804" s="1"/>
      <c r="FU1804" s="1"/>
      <c r="FV1804" s="1"/>
      <c r="FW1804" s="1"/>
      <c r="FX1804" s="1"/>
      <c r="FY1804" s="1"/>
      <c r="FZ1804" s="1"/>
      <c r="GA1804" s="1"/>
      <c r="GB1804" s="1"/>
      <c r="GC1804" s="1"/>
      <c r="GD1804" s="1"/>
      <c r="GE1804" s="1"/>
      <c r="GF1804" s="1"/>
      <c r="GG1804" s="1"/>
      <c r="GH1804" s="1"/>
      <c r="GI1804" s="1"/>
      <c r="GJ1804" s="1"/>
      <c r="GK1804" s="1"/>
      <c r="GL1804" s="1"/>
      <c r="GM1804" s="1"/>
      <c r="GN1804" s="1"/>
      <c r="GO1804" s="1"/>
      <c r="GP1804" s="1"/>
      <c r="GQ1804" s="1"/>
      <c r="GR1804" s="1"/>
      <c r="GS1804" s="1"/>
      <c r="GT1804" s="1"/>
      <c r="GU1804" s="1"/>
      <c r="GV1804" s="1"/>
      <c r="GW1804" s="1"/>
      <c r="GX1804" s="1"/>
      <c r="GY1804" s="1"/>
      <c r="GZ1804" s="1"/>
      <c r="HA1804" s="1"/>
      <c r="HB1804" s="1"/>
      <c r="HC1804" s="1"/>
      <c r="HD1804" s="1"/>
      <c r="HE1804" s="1"/>
      <c r="HF1804" s="1"/>
      <c r="HG1804" s="1"/>
      <c r="HH1804" s="1"/>
    </row>
    <row r="1805" spans="1:216" x14ac:dyDescent="0.3">
      <c r="A1805" s="3"/>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c r="EF1805" s="1"/>
      <c r="EG1805" s="1"/>
      <c r="EH1805" s="1"/>
      <c r="EI1805" s="1"/>
      <c r="EJ1805" s="1"/>
      <c r="EK1805" s="1"/>
      <c r="EL1805" s="1"/>
      <c r="EM1805" s="1"/>
      <c r="EN1805" s="1"/>
      <c r="EO1805" s="1"/>
      <c r="EP1805" s="1"/>
      <c r="EQ1805" s="1"/>
      <c r="ER1805" s="1"/>
      <c r="ES1805" s="1"/>
      <c r="ET1805" s="1"/>
      <c r="EU1805" s="1"/>
      <c r="EV1805" s="1"/>
      <c r="EW1805" s="1"/>
      <c r="EX1805" s="1"/>
      <c r="EY1805" s="1"/>
      <c r="EZ1805" s="1"/>
      <c r="FA1805" s="1"/>
      <c r="FB1805" s="1"/>
      <c r="FC1805" s="1"/>
      <c r="FD1805" s="1"/>
      <c r="FE1805" s="1"/>
      <c r="FF1805" s="1"/>
      <c r="FG1805" s="1"/>
      <c r="FH1805" s="1"/>
      <c r="FI1805" s="1"/>
      <c r="FJ1805" s="1"/>
      <c r="FK1805" s="1"/>
      <c r="FL1805" s="1"/>
      <c r="FM1805" s="1"/>
      <c r="FN1805" s="1"/>
      <c r="FO1805" s="1"/>
      <c r="FP1805" s="1"/>
      <c r="FQ1805" s="1"/>
      <c r="FR1805" s="1"/>
      <c r="FS1805" s="1"/>
      <c r="FT1805" s="1"/>
      <c r="FU1805" s="1"/>
      <c r="FV1805" s="1"/>
      <c r="FW1805" s="1"/>
      <c r="FX1805" s="1"/>
      <c r="FY1805" s="1"/>
      <c r="FZ1805" s="1"/>
      <c r="GA1805" s="1"/>
      <c r="GB1805" s="1"/>
      <c r="GC1805" s="1"/>
      <c r="GD1805" s="1"/>
      <c r="GE1805" s="1"/>
      <c r="GF1805" s="1"/>
      <c r="GG1805" s="1"/>
      <c r="GH1805" s="1"/>
      <c r="GI1805" s="1"/>
      <c r="GJ1805" s="1"/>
      <c r="GK1805" s="1"/>
      <c r="GL1805" s="1"/>
      <c r="GM1805" s="1"/>
      <c r="GN1805" s="1"/>
      <c r="GO1805" s="1"/>
      <c r="GP1805" s="1"/>
      <c r="GQ1805" s="1"/>
      <c r="GR1805" s="1"/>
      <c r="GS1805" s="1"/>
      <c r="GT1805" s="1"/>
      <c r="GU1805" s="1"/>
      <c r="GV1805" s="1"/>
      <c r="GW1805" s="1"/>
      <c r="GX1805" s="1"/>
      <c r="GY1805" s="1"/>
      <c r="GZ1805" s="1"/>
      <c r="HA1805" s="1"/>
      <c r="HB1805" s="1"/>
      <c r="HC1805" s="1"/>
      <c r="HD1805" s="1"/>
      <c r="HE1805" s="1"/>
      <c r="HF1805" s="1"/>
      <c r="HG1805" s="1"/>
      <c r="HH1805" s="1"/>
    </row>
    <row r="1806" spans="1:216" x14ac:dyDescent="0.3">
      <c r="A1806" s="3"/>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c r="EF1806" s="1"/>
      <c r="EG1806" s="1"/>
      <c r="EH1806" s="1"/>
      <c r="EI1806" s="1"/>
      <c r="EJ1806" s="1"/>
      <c r="EK1806" s="1"/>
      <c r="EL1806" s="1"/>
      <c r="EM1806" s="1"/>
      <c r="EN1806" s="1"/>
      <c r="EO1806" s="1"/>
      <c r="EP1806" s="1"/>
      <c r="EQ1806" s="1"/>
      <c r="ER1806" s="1"/>
      <c r="ES1806" s="1"/>
      <c r="ET1806" s="1"/>
      <c r="EU1806" s="1"/>
      <c r="EV1806" s="1"/>
      <c r="EW1806" s="1"/>
      <c r="EX1806" s="1"/>
      <c r="EY1806" s="1"/>
      <c r="EZ1806" s="1"/>
      <c r="FA1806" s="1"/>
      <c r="FB1806" s="1"/>
      <c r="FC1806" s="1"/>
      <c r="FD1806" s="1"/>
      <c r="FE1806" s="1"/>
      <c r="FF1806" s="1"/>
      <c r="FG1806" s="1"/>
      <c r="FH1806" s="1"/>
      <c r="FI1806" s="1"/>
      <c r="FJ1806" s="1"/>
      <c r="FK1806" s="1"/>
      <c r="FL1806" s="1"/>
      <c r="FM1806" s="1"/>
      <c r="FN1806" s="1"/>
      <c r="FO1806" s="1"/>
      <c r="FP1806" s="1"/>
      <c r="FQ1806" s="1"/>
      <c r="FR1806" s="1"/>
      <c r="FS1806" s="1"/>
      <c r="FT1806" s="1"/>
      <c r="FU1806" s="1"/>
      <c r="FV1806" s="1"/>
      <c r="FW1806" s="1"/>
      <c r="FX1806" s="1"/>
      <c r="FY1806" s="1"/>
      <c r="FZ1806" s="1"/>
      <c r="GA1806" s="1"/>
      <c r="GB1806" s="1"/>
      <c r="GC1806" s="1"/>
      <c r="GD1806" s="1"/>
      <c r="GE1806" s="1"/>
      <c r="GF1806" s="1"/>
      <c r="GG1806" s="1"/>
      <c r="GH1806" s="1"/>
      <c r="GI1806" s="1"/>
      <c r="GJ1806" s="1"/>
      <c r="GK1806" s="1"/>
      <c r="GL1806" s="1"/>
      <c r="GM1806" s="1"/>
      <c r="GN1806" s="1"/>
      <c r="GO1806" s="1"/>
      <c r="GP1806" s="1"/>
      <c r="GQ1806" s="1"/>
      <c r="GR1806" s="1"/>
      <c r="GS1806" s="1"/>
      <c r="GT1806" s="1"/>
      <c r="GU1806" s="1"/>
      <c r="GV1806" s="1"/>
      <c r="GW1806" s="1"/>
      <c r="GX1806" s="1"/>
      <c r="GY1806" s="1"/>
      <c r="GZ1806" s="1"/>
      <c r="HA1806" s="1"/>
      <c r="HB1806" s="1"/>
      <c r="HC1806" s="1"/>
      <c r="HD1806" s="1"/>
      <c r="HE1806" s="1"/>
      <c r="HF1806" s="1"/>
      <c r="HG1806" s="1"/>
      <c r="HH1806" s="1"/>
    </row>
    <row r="1807" spans="1:216" x14ac:dyDescent="0.3">
      <c r="A1807" s="3"/>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c r="FN1807" s="1"/>
      <c r="FO1807" s="1"/>
      <c r="FP1807" s="1"/>
      <c r="FQ1807" s="1"/>
      <c r="FR1807" s="1"/>
      <c r="FS1807" s="1"/>
      <c r="FT1807" s="1"/>
      <c r="FU1807" s="1"/>
      <c r="FV1807" s="1"/>
      <c r="FW1807" s="1"/>
      <c r="FX1807" s="1"/>
      <c r="FY1807" s="1"/>
      <c r="FZ1807" s="1"/>
      <c r="GA1807" s="1"/>
      <c r="GB1807" s="1"/>
      <c r="GC1807" s="1"/>
      <c r="GD1807" s="1"/>
      <c r="GE1807" s="1"/>
      <c r="GF1807" s="1"/>
      <c r="GG1807" s="1"/>
      <c r="GH1807" s="1"/>
      <c r="GI1807" s="1"/>
      <c r="GJ1807" s="1"/>
      <c r="GK1807" s="1"/>
      <c r="GL1807" s="1"/>
      <c r="GM1807" s="1"/>
      <c r="GN1807" s="1"/>
      <c r="GO1807" s="1"/>
      <c r="GP1807" s="1"/>
      <c r="GQ1807" s="1"/>
      <c r="GR1807" s="1"/>
      <c r="GS1807" s="1"/>
      <c r="GT1807" s="1"/>
      <c r="GU1807" s="1"/>
      <c r="GV1807" s="1"/>
      <c r="GW1807" s="1"/>
      <c r="GX1807" s="1"/>
      <c r="GY1807" s="1"/>
      <c r="GZ1807" s="1"/>
      <c r="HA1807" s="1"/>
      <c r="HB1807" s="1"/>
      <c r="HC1807" s="1"/>
      <c r="HD1807" s="1"/>
      <c r="HE1807" s="1"/>
      <c r="HF1807" s="1"/>
      <c r="HG1807" s="1"/>
      <c r="HH1807" s="1"/>
    </row>
    <row r="1808" spans="1:216" x14ac:dyDescent="0.3">
      <c r="A1808" s="3"/>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c r="EF1808" s="1"/>
      <c r="EG1808" s="1"/>
      <c r="EH1808" s="1"/>
      <c r="EI1808" s="1"/>
      <c r="EJ1808" s="1"/>
      <c r="EK1808" s="1"/>
      <c r="EL1808" s="1"/>
      <c r="EM1808" s="1"/>
      <c r="EN1808" s="1"/>
      <c r="EO1808" s="1"/>
      <c r="EP1808" s="1"/>
      <c r="EQ1808" s="1"/>
      <c r="ER1808" s="1"/>
      <c r="ES1808" s="1"/>
      <c r="ET1808" s="1"/>
      <c r="EU1808" s="1"/>
      <c r="EV1808" s="1"/>
      <c r="EW1808" s="1"/>
      <c r="EX1808" s="1"/>
      <c r="EY1808" s="1"/>
      <c r="EZ1808" s="1"/>
      <c r="FA1808" s="1"/>
      <c r="FB1808" s="1"/>
      <c r="FC1808" s="1"/>
      <c r="FD1808" s="1"/>
      <c r="FE1808" s="1"/>
      <c r="FF1808" s="1"/>
      <c r="FG1808" s="1"/>
      <c r="FH1808" s="1"/>
      <c r="FI1808" s="1"/>
      <c r="FJ1808" s="1"/>
      <c r="FK1808" s="1"/>
      <c r="FL1808" s="1"/>
      <c r="FM1808" s="1"/>
      <c r="FN1808" s="1"/>
      <c r="FO1808" s="1"/>
      <c r="FP1808" s="1"/>
      <c r="FQ1808" s="1"/>
      <c r="FR1808" s="1"/>
      <c r="FS1808" s="1"/>
      <c r="FT1808" s="1"/>
      <c r="FU1808" s="1"/>
      <c r="FV1808" s="1"/>
      <c r="FW1808" s="1"/>
      <c r="FX1808" s="1"/>
      <c r="FY1808" s="1"/>
      <c r="FZ1808" s="1"/>
      <c r="GA1808" s="1"/>
      <c r="GB1808" s="1"/>
      <c r="GC1808" s="1"/>
      <c r="GD1808" s="1"/>
      <c r="GE1808" s="1"/>
      <c r="GF1808" s="1"/>
      <c r="GG1808" s="1"/>
      <c r="GH1808" s="1"/>
      <c r="GI1808" s="1"/>
      <c r="GJ1808" s="1"/>
      <c r="GK1808" s="1"/>
      <c r="GL1808" s="1"/>
      <c r="GM1808" s="1"/>
      <c r="GN1808" s="1"/>
      <c r="GO1808" s="1"/>
      <c r="GP1808" s="1"/>
      <c r="GQ1808" s="1"/>
      <c r="GR1808" s="1"/>
      <c r="GS1808" s="1"/>
      <c r="GT1808" s="1"/>
      <c r="GU1808" s="1"/>
      <c r="GV1808" s="1"/>
      <c r="GW1808" s="1"/>
      <c r="GX1808" s="1"/>
      <c r="GY1808" s="1"/>
      <c r="GZ1808" s="1"/>
      <c r="HA1808" s="1"/>
      <c r="HB1808" s="1"/>
      <c r="HC1808" s="1"/>
      <c r="HD1808" s="1"/>
      <c r="HE1808" s="1"/>
      <c r="HF1808" s="1"/>
      <c r="HG1808" s="1"/>
      <c r="HH1808" s="1"/>
    </row>
    <row r="1809" spans="1:216" x14ac:dyDescent="0.3">
      <c r="A1809" s="3"/>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c r="EF1809" s="1"/>
      <c r="EG1809" s="1"/>
      <c r="EH1809" s="1"/>
      <c r="EI1809" s="1"/>
      <c r="EJ1809" s="1"/>
      <c r="EK1809" s="1"/>
      <c r="EL1809" s="1"/>
      <c r="EM1809" s="1"/>
      <c r="EN1809" s="1"/>
      <c r="EO1809" s="1"/>
      <c r="EP1809" s="1"/>
      <c r="EQ1809" s="1"/>
      <c r="ER1809" s="1"/>
      <c r="ES1809" s="1"/>
      <c r="ET1809" s="1"/>
      <c r="EU1809" s="1"/>
      <c r="EV1809" s="1"/>
      <c r="EW1809" s="1"/>
      <c r="EX1809" s="1"/>
      <c r="EY1809" s="1"/>
      <c r="EZ1809" s="1"/>
      <c r="FA1809" s="1"/>
      <c r="FB1809" s="1"/>
      <c r="FC1809" s="1"/>
      <c r="FD1809" s="1"/>
      <c r="FE1809" s="1"/>
      <c r="FF1809" s="1"/>
      <c r="FG1809" s="1"/>
      <c r="FH1809" s="1"/>
      <c r="FI1809" s="1"/>
      <c r="FJ1809" s="1"/>
      <c r="FK1809" s="1"/>
      <c r="FL1809" s="1"/>
      <c r="FM1809" s="1"/>
      <c r="FN1809" s="1"/>
      <c r="FO1809" s="1"/>
      <c r="FP1809" s="1"/>
      <c r="FQ1809" s="1"/>
      <c r="FR1809" s="1"/>
      <c r="FS1809" s="1"/>
      <c r="FT1809" s="1"/>
      <c r="FU1809" s="1"/>
      <c r="FV1809" s="1"/>
      <c r="FW1809" s="1"/>
      <c r="FX1809" s="1"/>
      <c r="FY1809" s="1"/>
      <c r="FZ1809" s="1"/>
      <c r="GA1809" s="1"/>
      <c r="GB1809" s="1"/>
      <c r="GC1809" s="1"/>
      <c r="GD1809" s="1"/>
      <c r="GE1809" s="1"/>
      <c r="GF1809" s="1"/>
      <c r="GG1809" s="1"/>
      <c r="GH1809" s="1"/>
      <c r="GI1809" s="1"/>
      <c r="GJ1809" s="1"/>
      <c r="GK1809" s="1"/>
      <c r="GL1809" s="1"/>
      <c r="GM1809" s="1"/>
      <c r="GN1809" s="1"/>
      <c r="GO1809" s="1"/>
      <c r="GP1809" s="1"/>
      <c r="GQ1809" s="1"/>
      <c r="GR1809" s="1"/>
      <c r="GS1809" s="1"/>
      <c r="GT1809" s="1"/>
      <c r="GU1809" s="1"/>
      <c r="GV1809" s="1"/>
      <c r="GW1809" s="1"/>
      <c r="GX1809" s="1"/>
      <c r="GY1809" s="1"/>
      <c r="GZ1809" s="1"/>
      <c r="HA1809" s="1"/>
      <c r="HB1809" s="1"/>
      <c r="HC1809" s="1"/>
      <c r="HD1809" s="1"/>
      <c r="HE1809" s="1"/>
      <c r="HF1809" s="1"/>
      <c r="HG1809" s="1"/>
      <c r="HH1809" s="1"/>
    </row>
    <row r="1810" spans="1:216" x14ac:dyDescent="0.3">
      <c r="A1810" s="3"/>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c r="EF1810" s="1"/>
      <c r="EG1810" s="1"/>
      <c r="EH1810" s="1"/>
      <c r="EI1810" s="1"/>
      <c r="EJ1810" s="1"/>
      <c r="EK1810" s="1"/>
      <c r="EL1810" s="1"/>
      <c r="EM1810" s="1"/>
      <c r="EN1810" s="1"/>
      <c r="EO1810" s="1"/>
      <c r="EP1810" s="1"/>
      <c r="EQ1810" s="1"/>
      <c r="ER1810" s="1"/>
      <c r="ES1810" s="1"/>
      <c r="ET1810" s="1"/>
      <c r="EU1810" s="1"/>
      <c r="EV1810" s="1"/>
      <c r="EW1810" s="1"/>
      <c r="EX1810" s="1"/>
      <c r="EY1810" s="1"/>
      <c r="EZ1810" s="1"/>
      <c r="FA1810" s="1"/>
      <c r="FB1810" s="1"/>
      <c r="FC1810" s="1"/>
      <c r="FD1810" s="1"/>
      <c r="FE1810" s="1"/>
      <c r="FF1810" s="1"/>
      <c r="FG1810" s="1"/>
      <c r="FH1810" s="1"/>
      <c r="FI1810" s="1"/>
      <c r="FJ1810" s="1"/>
      <c r="FK1810" s="1"/>
      <c r="FL1810" s="1"/>
      <c r="FM1810" s="1"/>
      <c r="FN1810" s="1"/>
      <c r="FO1810" s="1"/>
      <c r="FP1810" s="1"/>
      <c r="FQ1810" s="1"/>
      <c r="FR1810" s="1"/>
      <c r="FS1810" s="1"/>
      <c r="FT1810" s="1"/>
      <c r="FU1810" s="1"/>
      <c r="FV1810" s="1"/>
      <c r="FW1810" s="1"/>
      <c r="FX1810" s="1"/>
      <c r="FY1810" s="1"/>
      <c r="FZ1810" s="1"/>
      <c r="GA1810" s="1"/>
      <c r="GB1810" s="1"/>
      <c r="GC1810" s="1"/>
      <c r="GD1810" s="1"/>
      <c r="GE1810" s="1"/>
      <c r="GF1810" s="1"/>
      <c r="GG1810" s="1"/>
      <c r="GH1810" s="1"/>
      <c r="GI1810" s="1"/>
      <c r="GJ1810" s="1"/>
      <c r="GK1810" s="1"/>
      <c r="GL1810" s="1"/>
      <c r="GM1810" s="1"/>
      <c r="GN1810" s="1"/>
      <c r="GO1810" s="1"/>
      <c r="GP1810" s="1"/>
      <c r="GQ1810" s="1"/>
      <c r="GR1810" s="1"/>
      <c r="GS1810" s="1"/>
      <c r="GT1810" s="1"/>
      <c r="GU1810" s="1"/>
      <c r="GV1810" s="1"/>
      <c r="GW1810" s="1"/>
      <c r="GX1810" s="1"/>
      <c r="GY1810" s="1"/>
      <c r="GZ1810" s="1"/>
      <c r="HA1810" s="1"/>
      <c r="HB1810" s="1"/>
      <c r="HC1810" s="1"/>
      <c r="HD1810" s="1"/>
      <c r="HE1810" s="1"/>
      <c r="HF1810" s="1"/>
      <c r="HG1810" s="1"/>
      <c r="HH1810" s="1"/>
    </row>
    <row r="1811" spans="1:216" x14ac:dyDescent="0.3">
      <c r="A1811" s="3"/>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c r="EF1811" s="1"/>
      <c r="EG1811" s="1"/>
      <c r="EH1811" s="1"/>
      <c r="EI1811" s="1"/>
      <c r="EJ1811" s="1"/>
      <c r="EK1811" s="1"/>
      <c r="EL1811" s="1"/>
      <c r="EM1811" s="1"/>
      <c r="EN1811" s="1"/>
      <c r="EO1811" s="1"/>
      <c r="EP1811" s="1"/>
      <c r="EQ1811" s="1"/>
      <c r="ER1811" s="1"/>
      <c r="ES1811" s="1"/>
      <c r="ET1811" s="1"/>
      <c r="EU1811" s="1"/>
      <c r="EV1811" s="1"/>
      <c r="EW1811" s="1"/>
      <c r="EX1811" s="1"/>
      <c r="EY1811" s="1"/>
      <c r="EZ1811" s="1"/>
      <c r="FA1811" s="1"/>
      <c r="FB1811" s="1"/>
      <c r="FC1811" s="1"/>
      <c r="FD1811" s="1"/>
      <c r="FE1811" s="1"/>
      <c r="FF1811" s="1"/>
      <c r="FG1811" s="1"/>
      <c r="FH1811" s="1"/>
      <c r="FI1811" s="1"/>
      <c r="FJ1811" s="1"/>
      <c r="FK1811" s="1"/>
      <c r="FL1811" s="1"/>
      <c r="FM1811" s="1"/>
      <c r="FN1811" s="1"/>
      <c r="FO1811" s="1"/>
      <c r="FP1811" s="1"/>
      <c r="FQ1811" s="1"/>
      <c r="FR1811" s="1"/>
      <c r="FS1811" s="1"/>
      <c r="FT1811" s="1"/>
      <c r="FU1811" s="1"/>
      <c r="FV1811" s="1"/>
      <c r="FW1811" s="1"/>
      <c r="FX1811" s="1"/>
      <c r="FY1811" s="1"/>
      <c r="FZ1811" s="1"/>
      <c r="GA1811" s="1"/>
      <c r="GB1811" s="1"/>
      <c r="GC1811" s="1"/>
      <c r="GD1811" s="1"/>
      <c r="GE1811" s="1"/>
      <c r="GF1811" s="1"/>
      <c r="GG1811" s="1"/>
      <c r="GH1811" s="1"/>
      <c r="GI1811" s="1"/>
      <c r="GJ1811" s="1"/>
      <c r="GK1811" s="1"/>
      <c r="GL1811" s="1"/>
      <c r="GM1811" s="1"/>
      <c r="GN1811" s="1"/>
      <c r="GO1811" s="1"/>
      <c r="GP1811" s="1"/>
      <c r="GQ1811" s="1"/>
      <c r="GR1811" s="1"/>
      <c r="GS1811" s="1"/>
      <c r="GT1811" s="1"/>
      <c r="GU1811" s="1"/>
      <c r="GV1811" s="1"/>
      <c r="GW1811" s="1"/>
      <c r="GX1811" s="1"/>
      <c r="GY1811" s="1"/>
      <c r="GZ1811" s="1"/>
      <c r="HA1811" s="1"/>
      <c r="HB1811" s="1"/>
      <c r="HC1811" s="1"/>
      <c r="HD1811" s="1"/>
      <c r="HE1811" s="1"/>
      <c r="HF1811" s="1"/>
      <c r="HG1811" s="1"/>
      <c r="HH1811" s="1"/>
    </row>
    <row r="1812" spans="1:216" x14ac:dyDescent="0.3">
      <c r="A1812" s="3"/>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c r="FN1812" s="1"/>
      <c r="FO1812" s="1"/>
      <c r="FP1812" s="1"/>
      <c r="FQ1812" s="1"/>
      <c r="FR1812" s="1"/>
      <c r="FS1812" s="1"/>
      <c r="FT1812" s="1"/>
      <c r="FU1812" s="1"/>
      <c r="FV1812" s="1"/>
      <c r="FW1812" s="1"/>
      <c r="FX1812" s="1"/>
      <c r="FY1812" s="1"/>
      <c r="FZ1812" s="1"/>
      <c r="GA1812" s="1"/>
      <c r="GB1812" s="1"/>
      <c r="GC1812" s="1"/>
      <c r="GD1812" s="1"/>
      <c r="GE1812" s="1"/>
      <c r="GF1812" s="1"/>
      <c r="GG1812" s="1"/>
      <c r="GH1812" s="1"/>
      <c r="GI1812" s="1"/>
      <c r="GJ1812" s="1"/>
      <c r="GK1812" s="1"/>
      <c r="GL1812" s="1"/>
      <c r="GM1812" s="1"/>
      <c r="GN1812" s="1"/>
      <c r="GO1812" s="1"/>
      <c r="GP1812" s="1"/>
      <c r="GQ1812" s="1"/>
      <c r="GR1812" s="1"/>
      <c r="GS1812" s="1"/>
      <c r="GT1812" s="1"/>
      <c r="GU1812" s="1"/>
      <c r="GV1812" s="1"/>
      <c r="GW1812" s="1"/>
      <c r="GX1812" s="1"/>
      <c r="GY1812" s="1"/>
      <c r="GZ1812" s="1"/>
      <c r="HA1812" s="1"/>
      <c r="HB1812" s="1"/>
      <c r="HC1812" s="1"/>
      <c r="HD1812" s="1"/>
      <c r="HE1812" s="1"/>
      <c r="HF1812" s="1"/>
      <c r="HG1812" s="1"/>
      <c r="HH1812" s="1"/>
    </row>
    <row r="1813" spans="1:216" x14ac:dyDescent="0.3">
      <c r="A1813" s="3"/>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c r="GL1813" s="1"/>
      <c r="GM1813" s="1"/>
      <c r="GN1813" s="1"/>
      <c r="GO1813" s="1"/>
      <c r="GP1813" s="1"/>
      <c r="GQ1813" s="1"/>
      <c r="GR1813" s="1"/>
      <c r="GS1813" s="1"/>
      <c r="GT1813" s="1"/>
      <c r="GU1813" s="1"/>
      <c r="GV1813" s="1"/>
      <c r="GW1813" s="1"/>
      <c r="GX1813" s="1"/>
      <c r="GY1813" s="1"/>
      <c r="GZ1813" s="1"/>
      <c r="HA1813" s="1"/>
      <c r="HB1813" s="1"/>
      <c r="HC1813" s="1"/>
      <c r="HD1813" s="1"/>
      <c r="HE1813" s="1"/>
      <c r="HF1813" s="1"/>
      <c r="HG1813" s="1"/>
      <c r="HH1813" s="1"/>
    </row>
    <row r="1814" spans="1:216" x14ac:dyDescent="0.3">
      <c r="A1814" s="3"/>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c r="EF1814" s="1"/>
      <c r="EG1814" s="1"/>
      <c r="EH1814" s="1"/>
      <c r="EI1814" s="1"/>
      <c r="EJ1814" s="1"/>
      <c r="EK1814" s="1"/>
      <c r="EL1814" s="1"/>
      <c r="EM1814" s="1"/>
      <c r="EN1814" s="1"/>
      <c r="EO1814" s="1"/>
      <c r="EP1814" s="1"/>
      <c r="EQ1814" s="1"/>
      <c r="ER1814" s="1"/>
      <c r="ES1814" s="1"/>
      <c r="ET1814" s="1"/>
      <c r="EU1814" s="1"/>
      <c r="EV1814" s="1"/>
      <c r="EW1814" s="1"/>
      <c r="EX1814" s="1"/>
      <c r="EY1814" s="1"/>
      <c r="EZ1814" s="1"/>
      <c r="FA1814" s="1"/>
      <c r="FB1814" s="1"/>
      <c r="FC1814" s="1"/>
      <c r="FD1814" s="1"/>
      <c r="FE1814" s="1"/>
      <c r="FF1814" s="1"/>
      <c r="FG1814" s="1"/>
      <c r="FH1814" s="1"/>
      <c r="FI1814" s="1"/>
      <c r="FJ1814" s="1"/>
      <c r="FK1814" s="1"/>
      <c r="FL1814" s="1"/>
      <c r="FM1814" s="1"/>
      <c r="FN1814" s="1"/>
      <c r="FO1814" s="1"/>
      <c r="FP1814" s="1"/>
      <c r="FQ1814" s="1"/>
      <c r="FR1814" s="1"/>
      <c r="FS1814" s="1"/>
      <c r="FT1814" s="1"/>
      <c r="FU1814" s="1"/>
      <c r="FV1814" s="1"/>
      <c r="FW1814" s="1"/>
      <c r="FX1814" s="1"/>
      <c r="FY1814" s="1"/>
      <c r="FZ1814" s="1"/>
      <c r="GA1814" s="1"/>
      <c r="GB1814" s="1"/>
      <c r="GC1814" s="1"/>
      <c r="GD1814" s="1"/>
      <c r="GE1814" s="1"/>
      <c r="GF1814" s="1"/>
      <c r="GG1814" s="1"/>
      <c r="GH1814" s="1"/>
      <c r="GI1814" s="1"/>
      <c r="GJ1814" s="1"/>
      <c r="GK1814" s="1"/>
      <c r="GL1814" s="1"/>
      <c r="GM1814" s="1"/>
      <c r="GN1814" s="1"/>
      <c r="GO1814" s="1"/>
      <c r="GP1814" s="1"/>
      <c r="GQ1814" s="1"/>
      <c r="GR1814" s="1"/>
      <c r="GS1814" s="1"/>
      <c r="GT1814" s="1"/>
      <c r="GU1814" s="1"/>
      <c r="GV1814" s="1"/>
      <c r="GW1814" s="1"/>
      <c r="GX1814" s="1"/>
      <c r="GY1814" s="1"/>
      <c r="GZ1814" s="1"/>
      <c r="HA1814" s="1"/>
      <c r="HB1814" s="1"/>
      <c r="HC1814" s="1"/>
      <c r="HD1814" s="1"/>
      <c r="HE1814" s="1"/>
      <c r="HF1814" s="1"/>
      <c r="HG1814" s="1"/>
      <c r="HH1814" s="1"/>
    </row>
    <row r="1815" spans="1:216" x14ac:dyDescent="0.3">
      <c r="A1815" s="3"/>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c r="EF1815" s="1"/>
      <c r="EG1815" s="1"/>
      <c r="EH1815" s="1"/>
      <c r="EI1815" s="1"/>
      <c r="EJ1815" s="1"/>
      <c r="EK1815" s="1"/>
      <c r="EL1815" s="1"/>
      <c r="EM1815" s="1"/>
      <c r="EN1815" s="1"/>
      <c r="EO1815" s="1"/>
      <c r="EP1815" s="1"/>
      <c r="EQ1815" s="1"/>
      <c r="ER1815" s="1"/>
      <c r="ES1815" s="1"/>
      <c r="ET1815" s="1"/>
      <c r="EU1815" s="1"/>
      <c r="EV1815" s="1"/>
      <c r="EW1815" s="1"/>
      <c r="EX1815" s="1"/>
      <c r="EY1815" s="1"/>
      <c r="EZ1815" s="1"/>
      <c r="FA1815" s="1"/>
      <c r="FB1815" s="1"/>
      <c r="FC1815" s="1"/>
      <c r="FD1815" s="1"/>
      <c r="FE1815" s="1"/>
      <c r="FF1815" s="1"/>
      <c r="FG1815" s="1"/>
      <c r="FH1815" s="1"/>
      <c r="FI1815" s="1"/>
      <c r="FJ1815" s="1"/>
      <c r="FK1815" s="1"/>
      <c r="FL1815" s="1"/>
      <c r="FM1815" s="1"/>
      <c r="FN1815" s="1"/>
      <c r="FO1815" s="1"/>
      <c r="FP1815" s="1"/>
      <c r="FQ1815" s="1"/>
      <c r="FR1815" s="1"/>
      <c r="FS1815" s="1"/>
      <c r="FT1815" s="1"/>
      <c r="FU1815" s="1"/>
      <c r="FV1815" s="1"/>
      <c r="FW1815" s="1"/>
      <c r="FX1815" s="1"/>
      <c r="FY1815" s="1"/>
      <c r="FZ1815" s="1"/>
      <c r="GA1815" s="1"/>
      <c r="GB1815" s="1"/>
      <c r="GC1815" s="1"/>
      <c r="GD1815" s="1"/>
      <c r="GE1815" s="1"/>
      <c r="GF1815" s="1"/>
      <c r="GG1815" s="1"/>
      <c r="GH1815" s="1"/>
      <c r="GI1815" s="1"/>
      <c r="GJ1815" s="1"/>
      <c r="GK1815" s="1"/>
      <c r="GL1815" s="1"/>
      <c r="GM1815" s="1"/>
      <c r="GN1815" s="1"/>
      <c r="GO1815" s="1"/>
      <c r="GP1815" s="1"/>
      <c r="GQ1815" s="1"/>
      <c r="GR1815" s="1"/>
      <c r="GS1815" s="1"/>
      <c r="GT1815" s="1"/>
      <c r="GU1815" s="1"/>
      <c r="GV1815" s="1"/>
      <c r="GW1815" s="1"/>
      <c r="GX1815" s="1"/>
      <c r="GY1815" s="1"/>
      <c r="GZ1815" s="1"/>
      <c r="HA1815" s="1"/>
      <c r="HB1815" s="1"/>
      <c r="HC1815" s="1"/>
      <c r="HD1815" s="1"/>
      <c r="HE1815" s="1"/>
      <c r="HF1815" s="1"/>
      <c r="HG1815" s="1"/>
      <c r="HH1815" s="1"/>
    </row>
    <row r="1816" spans="1:216" x14ac:dyDescent="0.3">
      <c r="A1816" s="3"/>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c r="FN1816" s="1"/>
      <c r="FO1816" s="1"/>
      <c r="FP1816" s="1"/>
      <c r="FQ1816" s="1"/>
      <c r="FR1816" s="1"/>
      <c r="FS1816" s="1"/>
      <c r="FT1816" s="1"/>
      <c r="FU1816" s="1"/>
      <c r="FV1816" s="1"/>
      <c r="FW1816" s="1"/>
      <c r="FX1816" s="1"/>
      <c r="FY1816" s="1"/>
      <c r="FZ1816" s="1"/>
      <c r="GA1816" s="1"/>
      <c r="GB1816" s="1"/>
      <c r="GC1816" s="1"/>
      <c r="GD1816" s="1"/>
      <c r="GE1816" s="1"/>
      <c r="GF1816" s="1"/>
      <c r="GG1816" s="1"/>
      <c r="GH1816" s="1"/>
      <c r="GI1816" s="1"/>
      <c r="GJ1816" s="1"/>
      <c r="GK1816" s="1"/>
      <c r="GL1816" s="1"/>
      <c r="GM1816" s="1"/>
      <c r="GN1816" s="1"/>
      <c r="GO1816" s="1"/>
      <c r="GP1816" s="1"/>
      <c r="GQ1816" s="1"/>
      <c r="GR1816" s="1"/>
      <c r="GS1816" s="1"/>
      <c r="GT1816" s="1"/>
      <c r="GU1816" s="1"/>
      <c r="GV1816" s="1"/>
      <c r="GW1816" s="1"/>
      <c r="GX1816" s="1"/>
      <c r="GY1816" s="1"/>
      <c r="GZ1816" s="1"/>
      <c r="HA1816" s="1"/>
      <c r="HB1816" s="1"/>
      <c r="HC1816" s="1"/>
      <c r="HD1816" s="1"/>
      <c r="HE1816" s="1"/>
      <c r="HF1816" s="1"/>
      <c r="HG1816" s="1"/>
      <c r="HH1816" s="1"/>
    </row>
    <row r="1817" spans="1:216" x14ac:dyDescent="0.3">
      <c r="A1817" s="3"/>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c r="FN1817" s="1"/>
      <c r="FO1817" s="1"/>
      <c r="FP1817" s="1"/>
      <c r="FQ1817" s="1"/>
      <c r="FR1817" s="1"/>
      <c r="FS1817" s="1"/>
      <c r="FT1817" s="1"/>
      <c r="FU1817" s="1"/>
      <c r="FV1817" s="1"/>
      <c r="FW1817" s="1"/>
      <c r="FX1817" s="1"/>
      <c r="FY1817" s="1"/>
      <c r="FZ1817" s="1"/>
      <c r="GA1817" s="1"/>
      <c r="GB1817" s="1"/>
      <c r="GC1817" s="1"/>
      <c r="GD1817" s="1"/>
      <c r="GE1817" s="1"/>
      <c r="GF1817" s="1"/>
      <c r="GG1817" s="1"/>
      <c r="GH1817" s="1"/>
      <c r="GI1817" s="1"/>
      <c r="GJ1817" s="1"/>
      <c r="GK1817" s="1"/>
      <c r="GL1817" s="1"/>
      <c r="GM1817" s="1"/>
      <c r="GN1817" s="1"/>
      <c r="GO1817" s="1"/>
      <c r="GP1817" s="1"/>
      <c r="GQ1817" s="1"/>
      <c r="GR1817" s="1"/>
      <c r="GS1817" s="1"/>
      <c r="GT1817" s="1"/>
      <c r="GU1817" s="1"/>
      <c r="GV1817" s="1"/>
      <c r="GW1817" s="1"/>
      <c r="GX1817" s="1"/>
      <c r="GY1817" s="1"/>
      <c r="GZ1817" s="1"/>
      <c r="HA1817" s="1"/>
      <c r="HB1817" s="1"/>
      <c r="HC1817" s="1"/>
      <c r="HD1817" s="1"/>
      <c r="HE1817" s="1"/>
      <c r="HF1817" s="1"/>
      <c r="HG1817" s="1"/>
      <c r="HH1817" s="1"/>
    </row>
    <row r="1818" spans="1:216" x14ac:dyDescent="0.3">
      <c r="A1818" s="3"/>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c r="EF1818" s="1"/>
      <c r="EG1818" s="1"/>
      <c r="EH1818" s="1"/>
      <c r="EI1818" s="1"/>
      <c r="EJ1818" s="1"/>
      <c r="EK1818" s="1"/>
      <c r="EL1818" s="1"/>
      <c r="EM1818" s="1"/>
      <c r="EN1818" s="1"/>
      <c r="EO1818" s="1"/>
      <c r="EP1818" s="1"/>
      <c r="EQ1818" s="1"/>
      <c r="ER1818" s="1"/>
      <c r="ES1818" s="1"/>
      <c r="ET1818" s="1"/>
      <c r="EU1818" s="1"/>
      <c r="EV1818" s="1"/>
      <c r="EW1818" s="1"/>
      <c r="EX1818" s="1"/>
      <c r="EY1818" s="1"/>
      <c r="EZ1818" s="1"/>
      <c r="FA1818" s="1"/>
      <c r="FB1818" s="1"/>
      <c r="FC1818" s="1"/>
      <c r="FD1818" s="1"/>
      <c r="FE1818" s="1"/>
      <c r="FF1818" s="1"/>
      <c r="FG1818" s="1"/>
      <c r="FH1818" s="1"/>
      <c r="FI1818" s="1"/>
      <c r="FJ1818" s="1"/>
      <c r="FK1818" s="1"/>
      <c r="FL1818" s="1"/>
      <c r="FM1818" s="1"/>
      <c r="FN1818" s="1"/>
      <c r="FO1818" s="1"/>
      <c r="FP1818" s="1"/>
      <c r="FQ1818" s="1"/>
      <c r="FR1818" s="1"/>
      <c r="FS1818" s="1"/>
      <c r="FT1818" s="1"/>
      <c r="FU1818" s="1"/>
      <c r="FV1818" s="1"/>
      <c r="FW1818" s="1"/>
      <c r="FX1818" s="1"/>
      <c r="FY1818" s="1"/>
      <c r="FZ1818" s="1"/>
      <c r="GA1818" s="1"/>
      <c r="GB1818" s="1"/>
      <c r="GC1818" s="1"/>
      <c r="GD1818" s="1"/>
      <c r="GE1818" s="1"/>
      <c r="GF1818" s="1"/>
      <c r="GG1818" s="1"/>
      <c r="GH1818" s="1"/>
      <c r="GI1818" s="1"/>
      <c r="GJ1818" s="1"/>
      <c r="GK1818" s="1"/>
      <c r="GL1818" s="1"/>
      <c r="GM1818" s="1"/>
      <c r="GN1818" s="1"/>
      <c r="GO1818" s="1"/>
      <c r="GP1818" s="1"/>
      <c r="GQ1818" s="1"/>
      <c r="GR1818" s="1"/>
      <c r="GS1818" s="1"/>
      <c r="GT1818" s="1"/>
      <c r="GU1818" s="1"/>
      <c r="GV1818" s="1"/>
      <c r="GW1818" s="1"/>
      <c r="GX1818" s="1"/>
      <c r="GY1818" s="1"/>
      <c r="GZ1818" s="1"/>
      <c r="HA1818" s="1"/>
      <c r="HB1818" s="1"/>
      <c r="HC1818" s="1"/>
      <c r="HD1818" s="1"/>
      <c r="HE1818" s="1"/>
      <c r="HF1818" s="1"/>
      <c r="HG1818" s="1"/>
      <c r="HH1818" s="1"/>
    </row>
    <row r="1819" spans="1:216" x14ac:dyDescent="0.3">
      <c r="A1819" s="3"/>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c r="GL1819" s="1"/>
      <c r="GM1819" s="1"/>
      <c r="GN1819" s="1"/>
      <c r="GO1819" s="1"/>
      <c r="GP1819" s="1"/>
      <c r="GQ1819" s="1"/>
      <c r="GR1819" s="1"/>
      <c r="GS1819" s="1"/>
      <c r="GT1819" s="1"/>
      <c r="GU1819" s="1"/>
      <c r="GV1819" s="1"/>
      <c r="GW1819" s="1"/>
      <c r="GX1819" s="1"/>
      <c r="GY1819" s="1"/>
      <c r="GZ1819" s="1"/>
      <c r="HA1819" s="1"/>
      <c r="HB1819" s="1"/>
      <c r="HC1819" s="1"/>
      <c r="HD1819" s="1"/>
      <c r="HE1819" s="1"/>
      <c r="HF1819" s="1"/>
      <c r="HG1819" s="1"/>
      <c r="HH1819" s="1"/>
    </row>
    <row r="1820" spans="1:216" x14ac:dyDescent="0.3">
      <c r="A1820" s="3"/>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c r="FN1820" s="1"/>
      <c r="FO1820" s="1"/>
      <c r="FP1820" s="1"/>
      <c r="FQ1820" s="1"/>
      <c r="FR1820" s="1"/>
      <c r="FS1820" s="1"/>
      <c r="FT1820" s="1"/>
      <c r="FU1820" s="1"/>
      <c r="FV1820" s="1"/>
      <c r="FW1820" s="1"/>
      <c r="FX1820" s="1"/>
      <c r="FY1820" s="1"/>
      <c r="FZ1820" s="1"/>
      <c r="GA1820" s="1"/>
      <c r="GB1820" s="1"/>
      <c r="GC1820" s="1"/>
      <c r="GD1820" s="1"/>
      <c r="GE1820" s="1"/>
      <c r="GF1820" s="1"/>
      <c r="GG1820" s="1"/>
      <c r="GH1820" s="1"/>
      <c r="GI1820" s="1"/>
      <c r="GJ1820" s="1"/>
      <c r="GK1820" s="1"/>
      <c r="GL1820" s="1"/>
      <c r="GM1820" s="1"/>
      <c r="GN1820" s="1"/>
      <c r="GO1820" s="1"/>
      <c r="GP1820" s="1"/>
      <c r="GQ1820" s="1"/>
      <c r="GR1820" s="1"/>
      <c r="GS1820" s="1"/>
      <c r="GT1820" s="1"/>
      <c r="GU1820" s="1"/>
      <c r="GV1820" s="1"/>
      <c r="GW1820" s="1"/>
      <c r="GX1820" s="1"/>
      <c r="GY1820" s="1"/>
      <c r="GZ1820" s="1"/>
      <c r="HA1820" s="1"/>
      <c r="HB1820" s="1"/>
      <c r="HC1820" s="1"/>
      <c r="HD1820" s="1"/>
      <c r="HE1820" s="1"/>
      <c r="HF1820" s="1"/>
      <c r="HG1820" s="1"/>
      <c r="HH1820" s="1"/>
    </row>
    <row r="1821" spans="1:216" x14ac:dyDescent="0.3">
      <c r="A1821" s="3"/>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c r="EF1821" s="1"/>
      <c r="EG1821" s="1"/>
      <c r="EH1821" s="1"/>
      <c r="EI1821" s="1"/>
      <c r="EJ1821" s="1"/>
      <c r="EK1821" s="1"/>
      <c r="EL1821" s="1"/>
      <c r="EM1821" s="1"/>
      <c r="EN1821" s="1"/>
      <c r="EO1821" s="1"/>
      <c r="EP1821" s="1"/>
      <c r="EQ1821" s="1"/>
      <c r="ER1821" s="1"/>
      <c r="ES1821" s="1"/>
      <c r="ET1821" s="1"/>
      <c r="EU1821" s="1"/>
      <c r="EV1821" s="1"/>
      <c r="EW1821" s="1"/>
      <c r="EX1821" s="1"/>
      <c r="EY1821" s="1"/>
      <c r="EZ1821" s="1"/>
      <c r="FA1821" s="1"/>
      <c r="FB1821" s="1"/>
      <c r="FC1821" s="1"/>
      <c r="FD1821" s="1"/>
      <c r="FE1821" s="1"/>
      <c r="FF1821" s="1"/>
      <c r="FG1821" s="1"/>
      <c r="FH1821" s="1"/>
      <c r="FI1821" s="1"/>
      <c r="FJ1821" s="1"/>
      <c r="FK1821" s="1"/>
      <c r="FL1821" s="1"/>
      <c r="FM1821" s="1"/>
      <c r="FN1821" s="1"/>
      <c r="FO1821" s="1"/>
      <c r="FP1821" s="1"/>
      <c r="FQ1821" s="1"/>
      <c r="FR1821" s="1"/>
      <c r="FS1821" s="1"/>
      <c r="FT1821" s="1"/>
      <c r="FU1821" s="1"/>
      <c r="FV1821" s="1"/>
      <c r="FW1821" s="1"/>
      <c r="FX1821" s="1"/>
      <c r="FY1821" s="1"/>
      <c r="FZ1821" s="1"/>
      <c r="GA1821" s="1"/>
      <c r="GB1821" s="1"/>
      <c r="GC1821" s="1"/>
      <c r="GD1821" s="1"/>
      <c r="GE1821" s="1"/>
      <c r="GF1821" s="1"/>
      <c r="GG1821" s="1"/>
      <c r="GH1821" s="1"/>
      <c r="GI1821" s="1"/>
      <c r="GJ1821" s="1"/>
      <c r="GK1821" s="1"/>
      <c r="GL1821" s="1"/>
      <c r="GM1821" s="1"/>
      <c r="GN1821" s="1"/>
      <c r="GO1821" s="1"/>
      <c r="GP1821" s="1"/>
      <c r="GQ1821" s="1"/>
      <c r="GR1821" s="1"/>
      <c r="GS1821" s="1"/>
      <c r="GT1821" s="1"/>
      <c r="GU1821" s="1"/>
      <c r="GV1821" s="1"/>
      <c r="GW1821" s="1"/>
      <c r="GX1821" s="1"/>
      <c r="GY1821" s="1"/>
      <c r="GZ1821" s="1"/>
      <c r="HA1821" s="1"/>
      <c r="HB1821" s="1"/>
      <c r="HC1821" s="1"/>
      <c r="HD1821" s="1"/>
      <c r="HE1821" s="1"/>
      <c r="HF1821" s="1"/>
      <c r="HG1821" s="1"/>
      <c r="HH1821" s="1"/>
    </row>
    <row r="1822" spans="1:216" x14ac:dyDescent="0.3">
      <c r="A1822" s="3"/>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c r="EF1822" s="1"/>
      <c r="EG1822" s="1"/>
      <c r="EH1822" s="1"/>
      <c r="EI1822" s="1"/>
      <c r="EJ1822" s="1"/>
      <c r="EK1822" s="1"/>
      <c r="EL1822" s="1"/>
      <c r="EM1822" s="1"/>
      <c r="EN1822" s="1"/>
      <c r="EO1822" s="1"/>
      <c r="EP1822" s="1"/>
      <c r="EQ1822" s="1"/>
      <c r="ER1822" s="1"/>
      <c r="ES1822" s="1"/>
      <c r="ET1822" s="1"/>
      <c r="EU1822" s="1"/>
      <c r="EV1822" s="1"/>
      <c r="EW1822" s="1"/>
      <c r="EX1822" s="1"/>
      <c r="EY1822" s="1"/>
      <c r="EZ1822" s="1"/>
      <c r="FA1822" s="1"/>
      <c r="FB1822" s="1"/>
      <c r="FC1822" s="1"/>
      <c r="FD1822" s="1"/>
      <c r="FE1822" s="1"/>
      <c r="FF1822" s="1"/>
      <c r="FG1822" s="1"/>
      <c r="FH1822" s="1"/>
      <c r="FI1822" s="1"/>
      <c r="FJ1822" s="1"/>
      <c r="FK1822" s="1"/>
      <c r="FL1822" s="1"/>
      <c r="FM1822" s="1"/>
      <c r="FN1822" s="1"/>
      <c r="FO1822" s="1"/>
      <c r="FP1822" s="1"/>
      <c r="FQ1822" s="1"/>
      <c r="FR1822" s="1"/>
      <c r="FS1822" s="1"/>
      <c r="FT1822" s="1"/>
      <c r="FU1822" s="1"/>
      <c r="FV1822" s="1"/>
      <c r="FW1822" s="1"/>
      <c r="FX1822" s="1"/>
      <c r="FY1822" s="1"/>
      <c r="FZ1822" s="1"/>
      <c r="GA1822" s="1"/>
      <c r="GB1822" s="1"/>
      <c r="GC1822" s="1"/>
      <c r="GD1822" s="1"/>
      <c r="GE1822" s="1"/>
      <c r="GF1822" s="1"/>
      <c r="GG1822" s="1"/>
      <c r="GH1822" s="1"/>
      <c r="GI1822" s="1"/>
      <c r="GJ1822" s="1"/>
      <c r="GK1822" s="1"/>
      <c r="GL1822" s="1"/>
      <c r="GM1822" s="1"/>
      <c r="GN1822" s="1"/>
      <c r="GO1822" s="1"/>
      <c r="GP1822" s="1"/>
      <c r="GQ1822" s="1"/>
      <c r="GR1822" s="1"/>
      <c r="GS1822" s="1"/>
      <c r="GT1822" s="1"/>
      <c r="GU1822" s="1"/>
      <c r="GV1822" s="1"/>
      <c r="GW1822" s="1"/>
      <c r="GX1822" s="1"/>
      <c r="GY1822" s="1"/>
      <c r="GZ1822" s="1"/>
      <c r="HA1822" s="1"/>
      <c r="HB1822" s="1"/>
      <c r="HC1822" s="1"/>
      <c r="HD1822" s="1"/>
      <c r="HE1822" s="1"/>
      <c r="HF1822" s="1"/>
      <c r="HG1822" s="1"/>
      <c r="HH1822" s="1"/>
    </row>
    <row r="1823" spans="1:216" x14ac:dyDescent="0.3">
      <c r="A1823" s="3"/>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c r="GL1823" s="1"/>
      <c r="GM1823" s="1"/>
      <c r="GN1823" s="1"/>
      <c r="GO1823" s="1"/>
      <c r="GP1823" s="1"/>
      <c r="GQ1823" s="1"/>
      <c r="GR1823" s="1"/>
      <c r="GS1823" s="1"/>
      <c r="GT1823" s="1"/>
      <c r="GU1823" s="1"/>
      <c r="GV1823" s="1"/>
      <c r="GW1823" s="1"/>
      <c r="GX1823" s="1"/>
      <c r="GY1823" s="1"/>
      <c r="GZ1823" s="1"/>
      <c r="HA1823" s="1"/>
      <c r="HB1823" s="1"/>
      <c r="HC1823" s="1"/>
      <c r="HD1823" s="1"/>
      <c r="HE1823" s="1"/>
      <c r="HF1823" s="1"/>
      <c r="HG1823" s="1"/>
      <c r="HH1823" s="1"/>
    </row>
    <row r="1824" spans="1:216" x14ac:dyDescent="0.3">
      <c r="A1824" s="3"/>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c r="GL1824" s="1"/>
      <c r="GM1824" s="1"/>
      <c r="GN1824" s="1"/>
      <c r="GO1824" s="1"/>
      <c r="GP1824" s="1"/>
      <c r="GQ1824" s="1"/>
      <c r="GR1824" s="1"/>
      <c r="GS1824" s="1"/>
      <c r="GT1824" s="1"/>
      <c r="GU1824" s="1"/>
      <c r="GV1824" s="1"/>
      <c r="GW1824" s="1"/>
      <c r="GX1824" s="1"/>
      <c r="GY1824" s="1"/>
      <c r="GZ1824" s="1"/>
      <c r="HA1824" s="1"/>
      <c r="HB1824" s="1"/>
      <c r="HC1824" s="1"/>
      <c r="HD1824" s="1"/>
      <c r="HE1824" s="1"/>
      <c r="HF1824" s="1"/>
      <c r="HG1824" s="1"/>
      <c r="HH1824" s="1"/>
    </row>
    <row r="1825" spans="1:216" x14ac:dyDescent="0.3">
      <c r="A1825" s="3"/>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c r="EF1825" s="1"/>
      <c r="EG1825" s="1"/>
      <c r="EH1825" s="1"/>
      <c r="EI1825" s="1"/>
      <c r="EJ1825" s="1"/>
      <c r="EK1825" s="1"/>
      <c r="EL1825" s="1"/>
      <c r="EM1825" s="1"/>
      <c r="EN1825" s="1"/>
      <c r="EO1825" s="1"/>
      <c r="EP1825" s="1"/>
      <c r="EQ1825" s="1"/>
      <c r="ER1825" s="1"/>
      <c r="ES1825" s="1"/>
      <c r="ET1825" s="1"/>
      <c r="EU1825" s="1"/>
      <c r="EV1825" s="1"/>
      <c r="EW1825" s="1"/>
      <c r="EX1825" s="1"/>
      <c r="EY1825" s="1"/>
      <c r="EZ1825" s="1"/>
      <c r="FA1825" s="1"/>
      <c r="FB1825" s="1"/>
      <c r="FC1825" s="1"/>
      <c r="FD1825" s="1"/>
      <c r="FE1825" s="1"/>
      <c r="FF1825" s="1"/>
      <c r="FG1825" s="1"/>
      <c r="FH1825" s="1"/>
      <c r="FI1825" s="1"/>
      <c r="FJ1825" s="1"/>
      <c r="FK1825" s="1"/>
      <c r="FL1825" s="1"/>
      <c r="FM1825" s="1"/>
      <c r="FN1825" s="1"/>
      <c r="FO1825" s="1"/>
      <c r="FP1825" s="1"/>
      <c r="FQ1825" s="1"/>
      <c r="FR1825" s="1"/>
      <c r="FS1825" s="1"/>
      <c r="FT1825" s="1"/>
      <c r="FU1825" s="1"/>
      <c r="FV1825" s="1"/>
      <c r="FW1825" s="1"/>
      <c r="FX1825" s="1"/>
      <c r="FY1825" s="1"/>
      <c r="FZ1825" s="1"/>
      <c r="GA1825" s="1"/>
      <c r="GB1825" s="1"/>
      <c r="GC1825" s="1"/>
      <c r="GD1825" s="1"/>
      <c r="GE1825" s="1"/>
      <c r="GF1825" s="1"/>
      <c r="GG1825" s="1"/>
      <c r="GH1825" s="1"/>
      <c r="GI1825" s="1"/>
      <c r="GJ1825" s="1"/>
      <c r="GK1825" s="1"/>
      <c r="GL1825" s="1"/>
      <c r="GM1825" s="1"/>
      <c r="GN1825" s="1"/>
      <c r="GO1825" s="1"/>
      <c r="GP1825" s="1"/>
      <c r="GQ1825" s="1"/>
      <c r="GR1825" s="1"/>
      <c r="GS1825" s="1"/>
      <c r="GT1825" s="1"/>
      <c r="GU1825" s="1"/>
      <c r="GV1825" s="1"/>
      <c r="GW1825" s="1"/>
      <c r="GX1825" s="1"/>
      <c r="GY1825" s="1"/>
      <c r="GZ1825" s="1"/>
      <c r="HA1825" s="1"/>
      <c r="HB1825" s="1"/>
      <c r="HC1825" s="1"/>
      <c r="HD1825" s="1"/>
      <c r="HE1825" s="1"/>
      <c r="HF1825" s="1"/>
      <c r="HG1825" s="1"/>
      <c r="HH1825" s="1"/>
    </row>
    <row r="1826" spans="1:216" x14ac:dyDescent="0.3">
      <c r="A1826" s="3"/>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c r="EF1826" s="1"/>
      <c r="EG1826" s="1"/>
      <c r="EH1826" s="1"/>
      <c r="EI1826" s="1"/>
      <c r="EJ1826" s="1"/>
      <c r="EK1826" s="1"/>
      <c r="EL1826" s="1"/>
      <c r="EM1826" s="1"/>
      <c r="EN1826" s="1"/>
      <c r="EO1826" s="1"/>
      <c r="EP1826" s="1"/>
      <c r="EQ1826" s="1"/>
      <c r="ER1826" s="1"/>
      <c r="ES1826" s="1"/>
      <c r="ET1826" s="1"/>
      <c r="EU1826" s="1"/>
      <c r="EV1826" s="1"/>
      <c r="EW1826" s="1"/>
      <c r="EX1826" s="1"/>
      <c r="EY1826" s="1"/>
      <c r="EZ1826" s="1"/>
      <c r="FA1826" s="1"/>
      <c r="FB1826" s="1"/>
      <c r="FC1826" s="1"/>
      <c r="FD1826" s="1"/>
      <c r="FE1826" s="1"/>
      <c r="FF1826" s="1"/>
      <c r="FG1826" s="1"/>
      <c r="FH1826" s="1"/>
      <c r="FI1826" s="1"/>
      <c r="FJ1826" s="1"/>
      <c r="FK1826" s="1"/>
      <c r="FL1826" s="1"/>
      <c r="FM1826" s="1"/>
      <c r="FN1826" s="1"/>
      <c r="FO1826" s="1"/>
      <c r="FP1826" s="1"/>
      <c r="FQ1826" s="1"/>
      <c r="FR1826" s="1"/>
      <c r="FS1826" s="1"/>
      <c r="FT1826" s="1"/>
      <c r="FU1826" s="1"/>
      <c r="FV1826" s="1"/>
      <c r="FW1826" s="1"/>
      <c r="FX1826" s="1"/>
      <c r="FY1826" s="1"/>
      <c r="FZ1826" s="1"/>
      <c r="GA1826" s="1"/>
      <c r="GB1826" s="1"/>
      <c r="GC1826" s="1"/>
      <c r="GD1826" s="1"/>
      <c r="GE1826" s="1"/>
      <c r="GF1826" s="1"/>
      <c r="GG1826" s="1"/>
      <c r="GH1826" s="1"/>
      <c r="GI1826" s="1"/>
      <c r="GJ1826" s="1"/>
      <c r="GK1826" s="1"/>
      <c r="GL1826" s="1"/>
      <c r="GM1826" s="1"/>
      <c r="GN1826" s="1"/>
      <c r="GO1826" s="1"/>
      <c r="GP1826" s="1"/>
      <c r="GQ1826" s="1"/>
      <c r="GR1826" s="1"/>
      <c r="GS1826" s="1"/>
      <c r="GT1826" s="1"/>
      <c r="GU1826" s="1"/>
      <c r="GV1826" s="1"/>
      <c r="GW1826" s="1"/>
      <c r="GX1826" s="1"/>
      <c r="GY1826" s="1"/>
      <c r="GZ1826" s="1"/>
      <c r="HA1826" s="1"/>
      <c r="HB1826" s="1"/>
      <c r="HC1826" s="1"/>
      <c r="HD1826" s="1"/>
      <c r="HE1826" s="1"/>
      <c r="HF1826" s="1"/>
      <c r="HG1826" s="1"/>
      <c r="HH1826" s="1"/>
    </row>
    <row r="1827" spans="1:216" x14ac:dyDescent="0.3">
      <c r="A1827" s="3"/>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c r="EF1827" s="1"/>
      <c r="EG1827" s="1"/>
      <c r="EH1827" s="1"/>
      <c r="EI1827" s="1"/>
      <c r="EJ1827" s="1"/>
      <c r="EK1827" s="1"/>
      <c r="EL1827" s="1"/>
      <c r="EM1827" s="1"/>
      <c r="EN1827" s="1"/>
      <c r="EO1827" s="1"/>
      <c r="EP1827" s="1"/>
      <c r="EQ1827" s="1"/>
      <c r="ER1827" s="1"/>
      <c r="ES1827" s="1"/>
      <c r="ET1827" s="1"/>
      <c r="EU1827" s="1"/>
      <c r="EV1827" s="1"/>
      <c r="EW1827" s="1"/>
      <c r="EX1827" s="1"/>
      <c r="EY1827" s="1"/>
      <c r="EZ1827" s="1"/>
      <c r="FA1827" s="1"/>
      <c r="FB1827" s="1"/>
      <c r="FC1827" s="1"/>
      <c r="FD1827" s="1"/>
      <c r="FE1827" s="1"/>
      <c r="FF1827" s="1"/>
      <c r="FG1827" s="1"/>
      <c r="FH1827" s="1"/>
      <c r="FI1827" s="1"/>
      <c r="FJ1827" s="1"/>
      <c r="FK1827" s="1"/>
      <c r="FL1827" s="1"/>
      <c r="FM1827" s="1"/>
      <c r="FN1827" s="1"/>
      <c r="FO1827" s="1"/>
      <c r="FP1827" s="1"/>
      <c r="FQ1827" s="1"/>
      <c r="FR1827" s="1"/>
      <c r="FS1827" s="1"/>
      <c r="FT1827" s="1"/>
      <c r="FU1827" s="1"/>
      <c r="FV1827" s="1"/>
      <c r="FW1827" s="1"/>
      <c r="FX1827" s="1"/>
      <c r="FY1827" s="1"/>
      <c r="FZ1827" s="1"/>
      <c r="GA1827" s="1"/>
      <c r="GB1827" s="1"/>
      <c r="GC1827" s="1"/>
      <c r="GD1827" s="1"/>
      <c r="GE1827" s="1"/>
      <c r="GF1827" s="1"/>
      <c r="GG1827" s="1"/>
      <c r="GH1827" s="1"/>
      <c r="GI1827" s="1"/>
      <c r="GJ1827" s="1"/>
      <c r="GK1827" s="1"/>
      <c r="GL1827" s="1"/>
      <c r="GM1827" s="1"/>
      <c r="GN1827" s="1"/>
      <c r="GO1827" s="1"/>
      <c r="GP1827" s="1"/>
      <c r="GQ1827" s="1"/>
      <c r="GR1827" s="1"/>
      <c r="GS1827" s="1"/>
      <c r="GT1827" s="1"/>
      <c r="GU1827" s="1"/>
      <c r="GV1827" s="1"/>
      <c r="GW1827" s="1"/>
      <c r="GX1827" s="1"/>
      <c r="GY1827" s="1"/>
      <c r="GZ1827" s="1"/>
      <c r="HA1827" s="1"/>
      <c r="HB1827" s="1"/>
      <c r="HC1827" s="1"/>
      <c r="HD1827" s="1"/>
      <c r="HE1827" s="1"/>
      <c r="HF1827" s="1"/>
      <c r="HG1827" s="1"/>
      <c r="HH1827" s="1"/>
    </row>
    <row r="1828" spans="1:216" x14ac:dyDescent="0.3">
      <c r="A1828" s="3"/>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c r="EF1828" s="1"/>
      <c r="EG1828" s="1"/>
      <c r="EH1828" s="1"/>
      <c r="EI1828" s="1"/>
      <c r="EJ1828" s="1"/>
      <c r="EK1828" s="1"/>
      <c r="EL1828" s="1"/>
      <c r="EM1828" s="1"/>
      <c r="EN1828" s="1"/>
      <c r="EO1828" s="1"/>
      <c r="EP1828" s="1"/>
      <c r="EQ1828" s="1"/>
      <c r="ER1828" s="1"/>
      <c r="ES1828" s="1"/>
      <c r="ET1828" s="1"/>
      <c r="EU1828" s="1"/>
      <c r="EV1828" s="1"/>
      <c r="EW1828" s="1"/>
      <c r="EX1828" s="1"/>
      <c r="EY1828" s="1"/>
      <c r="EZ1828" s="1"/>
      <c r="FA1828" s="1"/>
      <c r="FB1828" s="1"/>
      <c r="FC1828" s="1"/>
      <c r="FD1828" s="1"/>
      <c r="FE1828" s="1"/>
      <c r="FF1828" s="1"/>
      <c r="FG1828" s="1"/>
      <c r="FH1828" s="1"/>
      <c r="FI1828" s="1"/>
      <c r="FJ1828" s="1"/>
      <c r="FK1828" s="1"/>
      <c r="FL1828" s="1"/>
      <c r="FM1828" s="1"/>
      <c r="FN1828" s="1"/>
      <c r="FO1828" s="1"/>
      <c r="FP1828" s="1"/>
      <c r="FQ1828" s="1"/>
      <c r="FR1828" s="1"/>
      <c r="FS1828" s="1"/>
      <c r="FT1828" s="1"/>
      <c r="FU1828" s="1"/>
      <c r="FV1828" s="1"/>
      <c r="FW1828" s="1"/>
      <c r="FX1828" s="1"/>
      <c r="FY1828" s="1"/>
      <c r="FZ1828" s="1"/>
      <c r="GA1828" s="1"/>
      <c r="GB1828" s="1"/>
      <c r="GC1828" s="1"/>
      <c r="GD1828" s="1"/>
      <c r="GE1828" s="1"/>
      <c r="GF1828" s="1"/>
      <c r="GG1828" s="1"/>
      <c r="GH1828" s="1"/>
      <c r="GI1828" s="1"/>
      <c r="GJ1828" s="1"/>
      <c r="GK1828" s="1"/>
      <c r="GL1828" s="1"/>
      <c r="GM1828" s="1"/>
      <c r="GN1828" s="1"/>
      <c r="GO1828" s="1"/>
      <c r="GP1828" s="1"/>
      <c r="GQ1828" s="1"/>
      <c r="GR1828" s="1"/>
      <c r="GS1828" s="1"/>
      <c r="GT1828" s="1"/>
      <c r="GU1828" s="1"/>
      <c r="GV1828" s="1"/>
      <c r="GW1828" s="1"/>
      <c r="GX1828" s="1"/>
      <c r="GY1828" s="1"/>
      <c r="GZ1828" s="1"/>
      <c r="HA1828" s="1"/>
      <c r="HB1828" s="1"/>
      <c r="HC1828" s="1"/>
      <c r="HD1828" s="1"/>
      <c r="HE1828" s="1"/>
      <c r="HF1828" s="1"/>
      <c r="HG1828" s="1"/>
      <c r="HH1828" s="1"/>
    </row>
    <row r="1829" spans="1:216" x14ac:dyDescent="0.3">
      <c r="A1829" s="3"/>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c r="EF1829" s="1"/>
      <c r="EG1829" s="1"/>
      <c r="EH1829" s="1"/>
      <c r="EI1829" s="1"/>
      <c r="EJ1829" s="1"/>
      <c r="EK1829" s="1"/>
      <c r="EL1829" s="1"/>
      <c r="EM1829" s="1"/>
      <c r="EN1829" s="1"/>
      <c r="EO1829" s="1"/>
      <c r="EP1829" s="1"/>
      <c r="EQ1829" s="1"/>
      <c r="ER1829" s="1"/>
      <c r="ES1829" s="1"/>
      <c r="ET1829" s="1"/>
      <c r="EU1829" s="1"/>
      <c r="EV1829" s="1"/>
      <c r="EW1829" s="1"/>
      <c r="EX1829" s="1"/>
      <c r="EY1829" s="1"/>
      <c r="EZ1829" s="1"/>
      <c r="FA1829" s="1"/>
      <c r="FB1829" s="1"/>
      <c r="FC1829" s="1"/>
      <c r="FD1829" s="1"/>
      <c r="FE1829" s="1"/>
      <c r="FF1829" s="1"/>
      <c r="FG1829" s="1"/>
      <c r="FH1829" s="1"/>
      <c r="FI1829" s="1"/>
      <c r="FJ1829" s="1"/>
      <c r="FK1829" s="1"/>
      <c r="FL1829" s="1"/>
      <c r="FM1829" s="1"/>
      <c r="FN1829" s="1"/>
      <c r="FO1829" s="1"/>
      <c r="FP1829" s="1"/>
      <c r="FQ1829" s="1"/>
      <c r="FR1829" s="1"/>
      <c r="FS1829" s="1"/>
      <c r="FT1829" s="1"/>
      <c r="FU1829" s="1"/>
      <c r="FV1829" s="1"/>
      <c r="FW1829" s="1"/>
      <c r="FX1829" s="1"/>
      <c r="FY1829" s="1"/>
      <c r="FZ1829" s="1"/>
      <c r="GA1829" s="1"/>
      <c r="GB1829" s="1"/>
      <c r="GC1829" s="1"/>
      <c r="GD1829" s="1"/>
      <c r="GE1829" s="1"/>
      <c r="GF1829" s="1"/>
      <c r="GG1829" s="1"/>
      <c r="GH1829" s="1"/>
      <c r="GI1829" s="1"/>
      <c r="GJ1829" s="1"/>
      <c r="GK1829" s="1"/>
      <c r="GL1829" s="1"/>
      <c r="GM1829" s="1"/>
      <c r="GN1829" s="1"/>
      <c r="GO1829" s="1"/>
      <c r="GP1829" s="1"/>
      <c r="GQ1829" s="1"/>
      <c r="GR1829" s="1"/>
      <c r="GS1829" s="1"/>
      <c r="GT1829" s="1"/>
      <c r="GU1829" s="1"/>
      <c r="GV1829" s="1"/>
      <c r="GW1829" s="1"/>
      <c r="GX1829" s="1"/>
      <c r="GY1829" s="1"/>
      <c r="GZ1829" s="1"/>
      <c r="HA1829" s="1"/>
      <c r="HB1829" s="1"/>
      <c r="HC1829" s="1"/>
      <c r="HD1829" s="1"/>
      <c r="HE1829" s="1"/>
      <c r="HF1829" s="1"/>
      <c r="HG1829" s="1"/>
      <c r="HH1829" s="1"/>
    </row>
    <row r="1830" spans="1:216" x14ac:dyDescent="0.3">
      <c r="A1830" s="3"/>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c r="EF1830" s="1"/>
      <c r="EG1830" s="1"/>
      <c r="EH1830" s="1"/>
      <c r="EI1830" s="1"/>
      <c r="EJ1830" s="1"/>
      <c r="EK1830" s="1"/>
      <c r="EL1830" s="1"/>
      <c r="EM1830" s="1"/>
      <c r="EN1830" s="1"/>
      <c r="EO1830" s="1"/>
      <c r="EP1830" s="1"/>
      <c r="EQ1830" s="1"/>
      <c r="ER1830" s="1"/>
      <c r="ES1830" s="1"/>
      <c r="ET1830" s="1"/>
      <c r="EU1830" s="1"/>
      <c r="EV1830" s="1"/>
      <c r="EW1830" s="1"/>
      <c r="EX1830" s="1"/>
      <c r="EY1830" s="1"/>
      <c r="EZ1830" s="1"/>
      <c r="FA1830" s="1"/>
      <c r="FB1830" s="1"/>
      <c r="FC1830" s="1"/>
      <c r="FD1830" s="1"/>
      <c r="FE1830" s="1"/>
      <c r="FF1830" s="1"/>
      <c r="FG1830" s="1"/>
      <c r="FH1830" s="1"/>
      <c r="FI1830" s="1"/>
      <c r="FJ1830" s="1"/>
      <c r="FK1830" s="1"/>
      <c r="FL1830" s="1"/>
      <c r="FM1830" s="1"/>
      <c r="FN1830" s="1"/>
      <c r="FO1830" s="1"/>
      <c r="FP1830" s="1"/>
      <c r="FQ1830" s="1"/>
      <c r="FR1830" s="1"/>
      <c r="FS1830" s="1"/>
      <c r="FT1830" s="1"/>
      <c r="FU1830" s="1"/>
      <c r="FV1830" s="1"/>
      <c r="FW1830" s="1"/>
      <c r="FX1830" s="1"/>
      <c r="FY1830" s="1"/>
      <c r="FZ1830" s="1"/>
      <c r="GA1830" s="1"/>
      <c r="GB1830" s="1"/>
      <c r="GC1830" s="1"/>
      <c r="GD1830" s="1"/>
      <c r="GE1830" s="1"/>
      <c r="GF1830" s="1"/>
      <c r="GG1830" s="1"/>
      <c r="GH1830" s="1"/>
      <c r="GI1830" s="1"/>
      <c r="GJ1830" s="1"/>
      <c r="GK1830" s="1"/>
      <c r="GL1830" s="1"/>
      <c r="GM1830" s="1"/>
      <c r="GN1830" s="1"/>
      <c r="GO1830" s="1"/>
      <c r="GP1830" s="1"/>
      <c r="GQ1830" s="1"/>
      <c r="GR1830" s="1"/>
      <c r="GS1830" s="1"/>
      <c r="GT1830" s="1"/>
      <c r="GU1830" s="1"/>
      <c r="GV1830" s="1"/>
      <c r="GW1830" s="1"/>
      <c r="GX1830" s="1"/>
      <c r="GY1830" s="1"/>
      <c r="GZ1830" s="1"/>
      <c r="HA1830" s="1"/>
      <c r="HB1830" s="1"/>
      <c r="HC1830" s="1"/>
      <c r="HD1830" s="1"/>
      <c r="HE1830" s="1"/>
      <c r="HF1830" s="1"/>
      <c r="HG1830" s="1"/>
      <c r="HH1830" s="1"/>
    </row>
    <row r="1831" spans="1:216" x14ac:dyDescent="0.3">
      <c r="A1831" s="3"/>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c r="EF1831" s="1"/>
      <c r="EG1831" s="1"/>
      <c r="EH1831" s="1"/>
      <c r="EI1831" s="1"/>
      <c r="EJ1831" s="1"/>
      <c r="EK1831" s="1"/>
      <c r="EL1831" s="1"/>
      <c r="EM1831" s="1"/>
      <c r="EN1831" s="1"/>
      <c r="EO1831" s="1"/>
      <c r="EP1831" s="1"/>
      <c r="EQ1831" s="1"/>
      <c r="ER1831" s="1"/>
      <c r="ES1831" s="1"/>
      <c r="ET1831" s="1"/>
      <c r="EU1831" s="1"/>
      <c r="EV1831" s="1"/>
      <c r="EW1831" s="1"/>
      <c r="EX1831" s="1"/>
      <c r="EY1831" s="1"/>
      <c r="EZ1831" s="1"/>
      <c r="FA1831" s="1"/>
      <c r="FB1831" s="1"/>
      <c r="FC1831" s="1"/>
      <c r="FD1831" s="1"/>
      <c r="FE1831" s="1"/>
      <c r="FF1831" s="1"/>
      <c r="FG1831" s="1"/>
      <c r="FH1831" s="1"/>
      <c r="FI1831" s="1"/>
      <c r="FJ1831" s="1"/>
      <c r="FK1831" s="1"/>
      <c r="FL1831" s="1"/>
      <c r="FM1831" s="1"/>
      <c r="FN1831" s="1"/>
      <c r="FO1831" s="1"/>
      <c r="FP1831" s="1"/>
      <c r="FQ1831" s="1"/>
      <c r="FR1831" s="1"/>
      <c r="FS1831" s="1"/>
      <c r="FT1831" s="1"/>
      <c r="FU1831" s="1"/>
      <c r="FV1831" s="1"/>
      <c r="FW1831" s="1"/>
      <c r="FX1831" s="1"/>
      <c r="FY1831" s="1"/>
      <c r="FZ1831" s="1"/>
      <c r="GA1831" s="1"/>
      <c r="GB1831" s="1"/>
      <c r="GC1831" s="1"/>
      <c r="GD1831" s="1"/>
      <c r="GE1831" s="1"/>
      <c r="GF1831" s="1"/>
      <c r="GG1831" s="1"/>
      <c r="GH1831" s="1"/>
      <c r="GI1831" s="1"/>
      <c r="GJ1831" s="1"/>
      <c r="GK1831" s="1"/>
      <c r="GL1831" s="1"/>
      <c r="GM1831" s="1"/>
      <c r="GN1831" s="1"/>
      <c r="GO1831" s="1"/>
      <c r="GP1831" s="1"/>
      <c r="GQ1831" s="1"/>
      <c r="GR1831" s="1"/>
      <c r="GS1831" s="1"/>
      <c r="GT1831" s="1"/>
      <c r="GU1831" s="1"/>
      <c r="GV1831" s="1"/>
      <c r="GW1831" s="1"/>
      <c r="GX1831" s="1"/>
      <c r="GY1831" s="1"/>
      <c r="GZ1831" s="1"/>
      <c r="HA1831" s="1"/>
      <c r="HB1831" s="1"/>
      <c r="HC1831" s="1"/>
      <c r="HD1831" s="1"/>
      <c r="HE1831" s="1"/>
      <c r="HF1831" s="1"/>
      <c r="HG1831" s="1"/>
      <c r="HH1831" s="1"/>
    </row>
    <row r="1832" spans="1:216" x14ac:dyDescent="0.3">
      <c r="A1832" s="3"/>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c r="EF1832" s="1"/>
      <c r="EG1832" s="1"/>
      <c r="EH1832" s="1"/>
      <c r="EI1832" s="1"/>
      <c r="EJ1832" s="1"/>
      <c r="EK1832" s="1"/>
      <c r="EL1832" s="1"/>
      <c r="EM1832" s="1"/>
      <c r="EN1832" s="1"/>
      <c r="EO1832" s="1"/>
      <c r="EP1832" s="1"/>
      <c r="EQ1832" s="1"/>
      <c r="ER1832" s="1"/>
      <c r="ES1832" s="1"/>
      <c r="ET1832" s="1"/>
      <c r="EU1832" s="1"/>
      <c r="EV1832" s="1"/>
      <c r="EW1832" s="1"/>
      <c r="EX1832" s="1"/>
      <c r="EY1832" s="1"/>
      <c r="EZ1832" s="1"/>
      <c r="FA1832" s="1"/>
      <c r="FB1832" s="1"/>
      <c r="FC1832" s="1"/>
      <c r="FD1832" s="1"/>
      <c r="FE1832" s="1"/>
      <c r="FF1832" s="1"/>
      <c r="FG1832" s="1"/>
      <c r="FH1832" s="1"/>
      <c r="FI1832" s="1"/>
      <c r="FJ1832" s="1"/>
      <c r="FK1832" s="1"/>
      <c r="FL1832" s="1"/>
      <c r="FM1832" s="1"/>
      <c r="FN1832" s="1"/>
      <c r="FO1832" s="1"/>
      <c r="FP1832" s="1"/>
      <c r="FQ1832" s="1"/>
      <c r="FR1832" s="1"/>
      <c r="FS1832" s="1"/>
      <c r="FT1832" s="1"/>
      <c r="FU1832" s="1"/>
      <c r="FV1832" s="1"/>
      <c r="FW1832" s="1"/>
      <c r="FX1832" s="1"/>
      <c r="FY1832" s="1"/>
      <c r="FZ1832" s="1"/>
      <c r="GA1832" s="1"/>
      <c r="GB1832" s="1"/>
      <c r="GC1832" s="1"/>
      <c r="GD1832" s="1"/>
      <c r="GE1832" s="1"/>
      <c r="GF1832" s="1"/>
      <c r="GG1832" s="1"/>
      <c r="GH1832" s="1"/>
      <c r="GI1832" s="1"/>
      <c r="GJ1832" s="1"/>
      <c r="GK1832" s="1"/>
      <c r="GL1832" s="1"/>
      <c r="GM1832" s="1"/>
      <c r="GN1832" s="1"/>
      <c r="GO1832" s="1"/>
      <c r="GP1832" s="1"/>
      <c r="GQ1832" s="1"/>
      <c r="GR1832" s="1"/>
      <c r="GS1832" s="1"/>
      <c r="GT1832" s="1"/>
      <c r="GU1832" s="1"/>
      <c r="GV1832" s="1"/>
      <c r="GW1832" s="1"/>
      <c r="GX1832" s="1"/>
      <c r="GY1832" s="1"/>
      <c r="GZ1832" s="1"/>
      <c r="HA1832" s="1"/>
      <c r="HB1832" s="1"/>
      <c r="HC1832" s="1"/>
      <c r="HD1832" s="1"/>
      <c r="HE1832" s="1"/>
      <c r="HF1832" s="1"/>
      <c r="HG1832" s="1"/>
      <c r="HH1832" s="1"/>
    </row>
    <row r="1833" spans="1:216" x14ac:dyDescent="0.3">
      <c r="A1833" s="3"/>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c r="EF1833" s="1"/>
      <c r="EG1833" s="1"/>
      <c r="EH1833" s="1"/>
      <c r="EI1833" s="1"/>
      <c r="EJ1833" s="1"/>
      <c r="EK1833" s="1"/>
      <c r="EL1833" s="1"/>
      <c r="EM1833" s="1"/>
      <c r="EN1833" s="1"/>
      <c r="EO1833" s="1"/>
      <c r="EP1833" s="1"/>
      <c r="EQ1833" s="1"/>
      <c r="ER1833" s="1"/>
      <c r="ES1833" s="1"/>
      <c r="ET1833" s="1"/>
      <c r="EU1833" s="1"/>
      <c r="EV1833" s="1"/>
      <c r="EW1833" s="1"/>
      <c r="EX1833" s="1"/>
      <c r="EY1833" s="1"/>
      <c r="EZ1833" s="1"/>
      <c r="FA1833" s="1"/>
      <c r="FB1833" s="1"/>
      <c r="FC1833" s="1"/>
      <c r="FD1833" s="1"/>
      <c r="FE1833" s="1"/>
      <c r="FF1833" s="1"/>
      <c r="FG1833" s="1"/>
      <c r="FH1833" s="1"/>
      <c r="FI1833" s="1"/>
      <c r="FJ1833" s="1"/>
      <c r="FK1833" s="1"/>
      <c r="FL1833" s="1"/>
      <c r="FM1833" s="1"/>
      <c r="FN1833" s="1"/>
      <c r="FO1833" s="1"/>
      <c r="FP1833" s="1"/>
      <c r="FQ1833" s="1"/>
      <c r="FR1833" s="1"/>
      <c r="FS1833" s="1"/>
      <c r="FT1833" s="1"/>
      <c r="FU1833" s="1"/>
      <c r="FV1833" s="1"/>
      <c r="FW1833" s="1"/>
      <c r="FX1833" s="1"/>
      <c r="FY1833" s="1"/>
      <c r="FZ1833" s="1"/>
      <c r="GA1833" s="1"/>
      <c r="GB1833" s="1"/>
      <c r="GC1833" s="1"/>
      <c r="GD1833" s="1"/>
      <c r="GE1833" s="1"/>
      <c r="GF1833" s="1"/>
      <c r="GG1833" s="1"/>
      <c r="GH1833" s="1"/>
      <c r="GI1833" s="1"/>
      <c r="GJ1833" s="1"/>
      <c r="GK1833" s="1"/>
      <c r="GL1833" s="1"/>
      <c r="GM1833" s="1"/>
      <c r="GN1833" s="1"/>
      <c r="GO1833" s="1"/>
      <c r="GP1833" s="1"/>
      <c r="GQ1833" s="1"/>
      <c r="GR1833" s="1"/>
      <c r="GS1833" s="1"/>
      <c r="GT1833" s="1"/>
      <c r="GU1833" s="1"/>
      <c r="GV1833" s="1"/>
      <c r="GW1833" s="1"/>
      <c r="GX1833" s="1"/>
      <c r="GY1833" s="1"/>
      <c r="GZ1833" s="1"/>
      <c r="HA1833" s="1"/>
      <c r="HB1833" s="1"/>
      <c r="HC1833" s="1"/>
      <c r="HD1833" s="1"/>
      <c r="HE1833" s="1"/>
      <c r="HF1833" s="1"/>
      <c r="HG1833" s="1"/>
      <c r="HH1833" s="1"/>
    </row>
    <row r="1834" spans="1:216" x14ac:dyDescent="0.3">
      <c r="A1834" s="3"/>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c r="EF1834" s="1"/>
      <c r="EG1834" s="1"/>
      <c r="EH1834" s="1"/>
      <c r="EI1834" s="1"/>
      <c r="EJ1834" s="1"/>
      <c r="EK1834" s="1"/>
      <c r="EL1834" s="1"/>
      <c r="EM1834" s="1"/>
      <c r="EN1834" s="1"/>
      <c r="EO1834" s="1"/>
      <c r="EP1834" s="1"/>
      <c r="EQ1834" s="1"/>
      <c r="ER1834" s="1"/>
      <c r="ES1834" s="1"/>
      <c r="ET1834" s="1"/>
      <c r="EU1834" s="1"/>
      <c r="EV1834" s="1"/>
      <c r="EW1834" s="1"/>
      <c r="EX1834" s="1"/>
      <c r="EY1834" s="1"/>
      <c r="EZ1834" s="1"/>
      <c r="FA1834" s="1"/>
      <c r="FB1834" s="1"/>
      <c r="FC1834" s="1"/>
      <c r="FD1834" s="1"/>
      <c r="FE1834" s="1"/>
      <c r="FF1834" s="1"/>
      <c r="FG1834" s="1"/>
      <c r="FH1834" s="1"/>
      <c r="FI1834" s="1"/>
      <c r="FJ1834" s="1"/>
      <c r="FK1834" s="1"/>
      <c r="FL1834" s="1"/>
      <c r="FM1834" s="1"/>
      <c r="FN1834" s="1"/>
      <c r="FO1834" s="1"/>
      <c r="FP1834" s="1"/>
      <c r="FQ1834" s="1"/>
      <c r="FR1834" s="1"/>
      <c r="FS1834" s="1"/>
      <c r="FT1834" s="1"/>
      <c r="FU1834" s="1"/>
      <c r="FV1834" s="1"/>
      <c r="FW1834" s="1"/>
      <c r="FX1834" s="1"/>
      <c r="FY1834" s="1"/>
      <c r="FZ1834" s="1"/>
      <c r="GA1834" s="1"/>
      <c r="GB1834" s="1"/>
      <c r="GC1834" s="1"/>
      <c r="GD1834" s="1"/>
      <c r="GE1834" s="1"/>
      <c r="GF1834" s="1"/>
      <c r="GG1834" s="1"/>
      <c r="GH1834" s="1"/>
      <c r="GI1834" s="1"/>
      <c r="GJ1834" s="1"/>
      <c r="GK1834" s="1"/>
      <c r="GL1834" s="1"/>
      <c r="GM1834" s="1"/>
      <c r="GN1834" s="1"/>
      <c r="GO1834" s="1"/>
      <c r="GP1834" s="1"/>
      <c r="GQ1834" s="1"/>
      <c r="GR1834" s="1"/>
      <c r="GS1834" s="1"/>
      <c r="GT1834" s="1"/>
      <c r="GU1834" s="1"/>
      <c r="GV1834" s="1"/>
      <c r="GW1834" s="1"/>
      <c r="GX1834" s="1"/>
      <c r="GY1834" s="1"/>
      <c r="GZ1834" s="1"/>
      <c r="HA1834" s="1"/>
      <c r="HB1834" s="1"/>
      <c r="HC1834" s="1"/>
      <c r="HD1834" s="1"/>
      <c r="HE1834" s="1"/>
      <c r="HF1834" s="1"/>
      <c r="HG1834" s="1"/>
      <c r="HH1834" s="1"/>
    </row>
    <row r="1835" spans="1:216" x14ac:dyDescent="0.3">
      <c r="A1835" s="3"/>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c r="FM1835" s="1"/>
      <c r="FN1835" s="1"/>
      <c r="FO1835" s="1"/>
      <c r="FP1835" s="1"/>
      <c r="FQ1835" s="1"/>
      <c r="FR1835" s="1"/>
      <c r="FS1835" s="1"/>
      <c r="FT1835" s="1"/>
      <c r="FU1835" s="1"/>
      <c r="FV1835" s="1"/>
      <c r="FW1835" s="1"/>
      <c r="FX1835" s="1"/>
      <c r="FY1835" s="1"/>
      <c r="FZ1835" s="1"/>
      <c r="GA1835" s="1"/>
      <c r="GB1835" s="1"/>
      <c r="GC1835" s="1"/>
      <c r="GD1835" s="1"/>
      <c r="GE1835" s="1"/>
      <c r="GF1835" s="1"/>
      <c r="GG1835" s="1"/>
      <c r="GH1835" s="1"/>
      <c r="GI1835" s="1"/>
      <c r="GJ1835" s="1"/>
      <c r="GK1835" s="1"/>
      <c r="GL1835" s="1"/>
      <c r="GM1835" s="1"/>
      <c r="GN1835" s="1"/>
      <c r="GO1835" s="1"/>
      <c r="GP1835" s="1"/>
      <c r="GQ1835" s="1"/>
      <c r="GR1835" s="1"/>
      <c r="GS1835" s="1"/>
      <c r="GT1835" s="1"/>
      <c r="GU1835" s="1"/>
      <c r="GV1835" s="1"/>
      <c r="GW1835" s="1"/>
      <c r="GX1835" s="1"/>
      <c r="GY1835" s="1"/>
      <c r="GZ1835" s="1"/>
      <c r="HA1835" s="1"/>
      <c r="HB1835" s="1"/>
      <c r="HC1835" s="1"/>
      <c r="HD1835" s="1"/>
      <c r="HE1835" s="1"/>
      <c r="HF1835" s="1"/>
      <c r="HG1835" s="1"/>
      <c r="HH1835" s="1"/>
    </row>
    <row r="1836" spans="1:216" x14ac:dyDescent="0.3">
      <c r="A1836" s="3"/>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c r="EF1836" s="1"/>
      <c r="EG1836" s="1"/>
      <c r="EH1836" s="1"/>
      <c r="EI1836" s="1"/>
      <c r="EJ1836" s="1"/>
      <c r="EK1836" s="1"/>
      <c r="EL1836" s="1"/>
      <c r="EM1836" s="1"/>
      <c r="EN1836" s="1"/>
      <c r="EO1836" s="1"/>
      <c r="EP1836" s="1"/>
      <c r="EQ1836" s="1"/>
      <c r="ER1836" s="1"/>
      <c r="ES1836" s="1"/>
      <c r="ET1836" s="1"/>
      <c r="EU1836" s="1"/>
      <c r="EV1836" s="1"/>
      <c r="EW1836" s="1"/>
      <c r="EX1836" s="1"/>
      <c r="EY1836" s="1"/>
      <c r="EZ1836" s="1"/>
      <c r="FA1836" s="1"/>
      <c r="FB1836" s="1"/>
      <c r="FC1836" s="1"/>
      <c r="FD1836" s="1"/>
      <c r="FE1836" s="1"/>
      <c r="FF1836" s="1"/>
      <c r="FG1836" s="1"/>
      <c r="FH1836" s="1"/>
      <c r="FI1836" s="1"/>
      <c r="FJ1836" s="1"/>
      <c r="FK1836" s="1"/>
      <c r="FL1836" s="1"/>
      <c r="FM1836" s="1"/>
      <c r="FN1836" s="1"/>
      <c r="FO1836" s="1"/>
      <c r="FP1836" s="1"/>
      <c r="FQ1836" s="1"/>
      <c r="FR1836" s="1"/>
      <c r="FS1836" s="1"/>
      <c r="FT1836" s="1"/>
      <c r="FU1836" s="1"/>
      <c r="FV1836" s="1"/>
      <c r="FW1836" s="1"/>
      <c r="FX1836" s="1"/>
      <c r="FY1836" s="1"/>
      <c r="FZ1836" s="1"/>
      <c r="GA1836" s="1"/>
      <c r="GB1836" s="1"/>
      <c r="GC1836" s="1"/>
      <c r="GD1836" s="1"/>
      <c r="GE1836" s="1"/>
      <c r="GF1836" s="1"/>
      <c r="GG1836" s="1"/>
      <c r="GH1836" s="1"/>
      <c r="GI1836" s="1"/>
      <c r="GJ1836" s="1"/>
      <c r="GK1836" s="1"/>
      <c r="GL1836" s="1"/>
      <c r="GM1836" s="1"/>
      <c r="GN1836" s="1"/>
      <c r="GO1836" s="1"/>
      <c r="GP1836" s="1"/>
      <c r="GQ1836" s="1"/>
      <c r="GR1836" s="1"/>
      <c r="GS1836" s="1"/>
      <c r="GT1836" s="1"/>
      <c r="GU1836" s="1"/>
      <c r="GV1836" s="1"/>
      <c r="GW1836" s="1"/>
      <c r="GX1836" s="1"/>
      <c r="GY1836" s="1"/>
      <c r="GZ1836" s="1"/>
      <c r="HA1836" s="1"/>
      <c r="HB1836" s="1"/>
      <c r="HC1836" s="1"/>
      <c r="HD1836" s="1"/>
      <c r="HE1836" s="1"/>
      <c r="HF1836" s="1"/>
      <c r="HG1836" s="1"/>
      <c r="HH1836" s="1"/>
    </row>
    <row r="1837" spans="1:216" x14ac:dyDescent="0.3">
      <c r="A1837" s="3"/>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c r="EF1837" s="1"/>
      <c r="EG1837" s="1"/>
      <c r="EH1837" s="1"/>
      <c r="EI1837" s="1"/>
      <c r="EJ1837" s="1"/>
      <c r="EK1837" s="1"/>
      <c r="EL1837" s="1"/>
      <c r="EM1837" s="1"/>
      <c r="EN1837" s="1"/>
      <c r="EO1837" s="1"/>
      <c r="EP1837" s="1"/>
      <c r="EQ1837" s="1"/>
      <c r="ER1837" s="1"/>
      <c r="ES1837" s="1"/>
      <c r="ET1837" s="1"/>
      <c r="EU1837" s="1"/>
      <c r="EV1837" s="1"/>
      <c r="EW1837" s="1"/>
      <c r="EX1837" s="1"/>
      <c r="EY1837" s="1"/>
      <c r="EZ1837" s="1"/>
      <c r="FA1837" s="1"/>
      <c r="FB1837" s="1"/>
      <c r="FC1837" s="1"/>
      <c r="FD1837" s="1"/>
      <c r="FE1837" s="1"/>
      <c r="FF1837" s="1"/>
      <c r="FG1837" s="1"/>
      <c r="FH1837" s="1"/>
      <c r="FI1837" s="1"/>
      <c r="FJ1837" s="1"/>
      <c r="FK1837" s="1"/>
      <c r="FL1837" s="1"/>
      <c r="FM1837" s="1"/>
      <c r="FN1837" s="1"/>
      <c r="FO1837" s="1"/>
      <c r="FP1837" s="1"/>
      <c r="FQ1837" s="1"/>
      <c r="FR1837" s="1"/>
      <c r="FS1837" s="1"/>
      <c r="FT1837" s="1"/>
      <c r="FU1837" s="1"/>
      <c r="FV1837" s="1"/>
      <c r="FW1837" s="1"/>
      <c r="FX1837" s="1"/>
      <c r="FY1837" s="1"/>
      <c r="FZ1837" s="1"/>
      <c r="GA1837" s="1"/>
      <c r="GB1837" s="1"/>
      <c r="GC1837" s="1"/>
      <c r="GD1837" s="1"/>
      <c r="GE1837" s="1"/>
      <c r="GF1837" s="1"/>
      <c r="GG1837" s="1"/>
      <c r="GH1837" s="1"/>
      <c r="GI1837" s="1"/>
      <c r="GJ1837" s="1"/>
      <c r="GK1837" s="1"/>
      <c r="GL1837" s="1"/>
      <c r="GM1837" s="1"/>
      <c r="GN1837" s="1"/>
      <c r="GO1837" s="1"/>
      <c r="GP1837" s="1"/>
      <c r="GQ1837" s="1"/>
      <c r="GR1837" s="1"/>
      <c r="GS1837" s="1"/>
      <c r="GT1837" s="1"/>
      <c r="GU1837" s="1"/>
      <c r="GV1837" s="1"/>
      <c r="GW1837" s="1"/>
      <c r="GX1837" s="1"/>
      <c r="GY1837" s="1"/>
      <c r="GZ1837" s="1"/>
      <c r="HA1837" s="1"/>
      <c r="HB1837" s="1"/>
      <c r="HC1837" s="1"/>
      <c r="HD1837" s="1"/>
      <c r="HE1837" s="1"/>
      <c r="HF1837" s="1"/>
      <c r="HG1837" s="1"/>
      <c r="HH1837" s="1"/>
    </row>
    <row r="1838" spans="1:216" x14ac:dyDescent="0.3">
      <c r="A1838" s="3"/>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c r="EF1838" s="1"/>
      <c r="EG1838" s="1"/>
      <c r="EH1838" s="1"/>
      <c r="EI1838" s="1"/>
      <c r="EJ1838" s="1"/>
      <c r="EK1838" s="1"/>
      <c r="EL1838" s="1"/>
      <c r="EM1838" s="1"/>
      <c r="EN1838" s="1"/>
      <c r="EO1838" s="1"/>
      <c r="EP1838" s="1"/>
      <c r="EQ1838" s="1"/>
      <c r="ER1838" s="1"/>
      <c r="ES1838" s="1"/>
      <c r="ET1838" s="1"/>
      <c r="EU1838" s="1"/>
      <c r="EV1838" s="1"/>
      <c r="EW1838" s="1"/>
      <c r="EX1838" s="1"/>
      <c r="EY1838" s="1"/>
      <c r="EZ1838" s="1"/>
      <c r="FA1838" s="1"/>
      <c r="FB1838" s="1"/>
      <c r="FC1838" s="1"/>
      <c r="FD1838" s="1"/>
      <c r="FE1838" s="1"/>
      <c r="FF1838" s="1"/>
      <c r="FG1838" s="1"/>
      <c r="FH1838" s="1"/>
      <c r="FI1838" s="1"/>
      <c r="FJ1838" s="1"/>
      <c r="FK1838" s="1"/>
      <c r="FL1838" s="1"/>
      <c r="FM1838" s="1"/>
      <c r="FN1838" s="1"/>
      <c r="FO1838" s="1"/>
      <c r="FP1838" s="1"/>
      <c r="FQ1838" s="1"/>
      <c r="FR1838" s="1"/>
      <c r="FS1838" s="1"/>
      <c r="FT1838" s="1"/>
      <c r="FU1838" s="1"/>
      <c r="FV1838" s="1"/>
      <c r="FW1838" s="1"/>
      <c r="FX1838" s="1"/>
      <c r="FY1838" s="1"/>
      <c r="FZ1838" s="1"/>
      <c r="GA1838" s="1"/>
      <c r="GB1838" s="1"/>
      <c r="GC1838" s="1"/>
      <c r="GD1838" s="1"/>
      <c r="GE1838" s="1"/>
      <c r="GF1838" s="1"/>
      <c r="GG1838" s="1"/>
      <c r="GH1838" s="1"/>
      <c r="GI1838" s="1"/>
      <c r="GJ1838" s="1"/>
      <c r="GK1838" s="1"/>
      <c r="GL1838" s="1"/>
      <c r="GM1838" s="1"/>
      <c r="GN1838" s="1"/>
      <c r="GO1838" s="1"/>
      <c r="GP1838" s="1"/>
      <c r="GQ1838" s="1"/>
      <c r="GR1838" s="1"/>
      <c r="GS1838" s="1"/>
      <c r="GT1838" s="1"/>
      <c r="GU1838" s="1"/>
      <c r="GV1838" s="1"/>
      <c r="GW1838" s="1"/>
      <c r="GX1838" s="1"/>
      <c r="GY1838" s="1"/>
      <c r="GZ1838" s="1"/>
      <c r="HA1838" s="1"/>
      <c r="HB1838" s="1"/>
      <c r="HC1838" s="1"/>
      <c r="HD1838" s="1"/>
      <c r="HE1838" s="1"/>
      <c r="HF1838" s="1"/>
      <c r="HG1838" s="1"/>
      <c r="HH1838" s="1"/>
    </row>
    <row r="1839" spans="1:216" x14ac:dyDescent="0.3">
      <c r="A1839" s="3"/>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c r="EF1839" s="1"/>
      <c r="EG1839" s="1"/>
      <c r="EH1839" s="1"/>
      <c r="EI1839" s="1"/>
      <c r="EJ1839" s="1"/>
      <c r="EK1839" s="1"/>
      <c r="EL1839" s="1"/>
      <c r="EM1839" s="1"/>
      <c r="EN1839" s="1"/>
      <c r="EO1839" s="1"/>
      <c r="EP1839" s="1"/>
      <c r="EQ1839" s="1"/>
      <c r="ER1839" s="1"/>
      <c r="ES1839" s="1"/>
      <c r="ET1839" s="1"/>
      <c r="EU1839" s="1"/>
      <c r="EV1839" s="1"/>
      <c r="EW1839" s="1"/>
      <c r="EX1839" s="1"/>
      <c r="EY1839" s="1"/>
      <c r="EZ1839" s="1"/>
      <c r="FA1839" s="1"/>
      <c r="FB1839" s="1"/>
      <c r="FC1839" s="1"/>
      <c r="FD1839" s="1"/>
      <c r="FE1839" s="1"/>
      <c r="FF1839" s="1"/>
      <c r="FG1839" s="1"/>
      <c r="FH1839" s="1"/>
      <c r="FI1839" s="1"/>
      <c r="FJ1839" s="1"/>
      <c r="FK1839" s="1"/>
      <c r="FL1839" s="1"/>
      <c r="FM1839" s="1"/>
      <c r="FN1839" s="1"/>
      <c r="FO1839" s="1"/>
      <c r="FP1839" s="1"/>
      <c r="FQ1839" s="1"/>
      <c r="FR1839" s="1"/>
      <c r="FS1839" s="1"/>
      <c r="FT1839" s="1"/>
      <c r="FU1839" s="1"/>
      <c r="FV1839" s="1"/>
      <c r="FW1839" s="1"/>
      <c r="FX1839" s="1"/>
      <c r="FY1839" s="1"/>
      <c r="FZ1839" s="1"/>
      <c r="GA1839" s="1"/>
      <c r="GB1839" s="1"/>
      <c r="GC1839" s="1"/>
      <c r="GD1839" s="1"/>
      <c r="GE1839" s="1"/>
      <c r="GF1839" s="1"/>
      <c r="GG1839" s="1"/>
      <c r="GH1839" s="1"/>
      <c r="GI1839" s="1"/>
      <c r="GJ1839" s="1"/>
      <c r="GK1839" s="1"/>
      <c r="GL1839" s="1"/>
      <c r="GM1839" s="1"/>
      <c r="GN1839" s="1"/>
      <c r="GO1839" s="1"/>
      <c r="GP1839" s="1"/>
      <c r="GQ1839" s="1"/>
      <c r="GR1839" s="1"/>
      <c r="GS1839" s="1"/>
      <c r="GT1839" s="1"/>
      <c r="GU1839" s="1"/>
      <c r="GV1839" s="1"/>
      <c r="GW1839" s="1"/>
      <c r="GX1839" s="1"/>
      <c r="GY1839" s="1"/>
      <c r="GZ1839" s="1"/>
      <c r="HA1839" s="1"/>
      <c r="HB1839" s="1"/>
      <c r="HC1839" s="1"/>
      <c r="HD1839" s="1"/>
      <c r="HE1839" s="1"/>
      <c r="HF1839" s="1"/>
      <c r="HG1839" s="1"/>
      <c r="HH1839" s="1"/>
    </row>
    <row r="1840" spans="1:216" x14ac:dyDescent="0.3">
      <c r="A1840" s="3"/>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c r="EF1840" s="1"/>
      <c r="EG1840" s="1"/>
      <c r="EH1840" s="1"/>
      <c r="EI1840" s="1"/>
      <c r="EJ1840" s="1"/>
      <c r="EK1840" s="1"/>
      <c r="EL1840" s="1"/>
      <c r="EM1840" s="1"/>
      <c r="EN1840" s="1"/>
      <c r="EO1840" s="1"/>
      <c r="EP1840" s="1"/>
      <c r="EQ1840" s="1"/>
      <c r="ER1840" s="1"/>
      <c r="ES1840" s="1"/>
      <c r="ET1840" s="1"/>
      <c r="EU1840" s="1"/>
      <c r="EV1840" s="1"/>
      <c r="EW1840" s="1"/>
      <c r="EX1840" s="1"/>
      <c r="EY1840" s="1"/>
      <c r="EZ1840" s="1"/>
      <c r="FA1840" s="1"/>
      <c r="FB1840" s="1"/>
      <c r="FC1840" s="1"/>
      <c r="FD1840" s="1"/>
      <c r="FE1840" s="1"/>
      <c r="FF1840" s="1"/>
      <c r="FG1840" s="1"/>
      <c r="FH1840" s="1"/>
      <c r="FI1840" s="1"/>
      <c r="FJ1840" s="1"/>
      <c r="FK1840" s="1"/>
      <c r="FL1840" s="1"/>
      <c r="FM1840" s="1"/>
      <c r="FN1840" s="1"/>
      <c r="FO1840" s="1"/>
      <c r="FP1840" s="1"/>
      <c r="FQ1840" s="1"/>
      <c r="FR1840" s="1"/>
      <c r="FS1840" s="1"/>
      <c r="FT1840" s="1"/>
      <c r="FU1840" s="1"/>
      <c r="FV1840" s="1"/>
      <c r="FW1840" s="1"/>
      <c r="FX1840" s="1"/>
      <c r="FY1840" s="1"/>
      <c r="FZ1840" s="1"/>
      <c r="GA1840" s="1"/>
      <c r="GB1840" s="1"/>
      <c r="GC1840" s="1"/>
      <c r="GD1840" s="1"/>
      <c r="GE1840" s="1"/>
      <c r="GF1840" s="1"/>
      <c r="GG1840" s="1"/>
      <c r="GH1840" s="1"/>
      <c r="GI1840" s="1"/>
      <c r="GJ1840" s="1"/>
      <c r="GK1840" s="1"/>
      <c r="GL1840" s="1"/>
      <c r="GM1840" s="1"/>
      <c r="GN1840" s="1"/>
      <c r="GO1840" s="1"/>
      <c r="GP1840" s="1"/>
      <c r="GQ1840" s="1"/>
      <c r="GR1840" s="1"/>
      <c r="GS1840" s="1"/>
      <c r="GT1840" s="1"/>
      <c r="GU1840" s="1"/>
      <c r="GV1840" s="1"/>
      <c r="GW1840" s="1"/>
      <c r="GX1840" s="1"/>
      <c r="GY1840" s="1"/>
      <c r="GZ1840" s="1"/>
      <c r="HA1840" s="1"/>
      <c r="HB1840" s="1"/>
      <c r="HC1840" s="1"/>
      <c r="HD1840" s="1"/>
      <c r="HE1840" s="1"/>
      <c r="HF1840" s="1"/>
      <c r="HG1840" s="1"/>
      <c r="HH1840" s="1"/>
    </row>
    <row r="1841" spans="1:216" x14ac:dyDescent="0.3">
      <c r="A1841" s="3"/>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c r="EF1841" s="1"/>
      <c r="EG1841" s="1"/>
      <c r="EH1841" s="1"/>
      <c r="EI1841" s="1"/>
      <c r="EJ1841" s="1"/>
      <c r="EK1841" s="1"/>
      <c r="EL1841" s="1"/>
      <c r="EM1841" s="1"/>
      <c r="EN1841" s="1"/>
      <c r="EO1841" s="1"/>
      <c r="EP1841" s="1"/>
      <c r="EQ1841" s="1"/>
      <c r="ER1841" s="1"/>
      <c r="ES1841" s="1"/>
      <c r="ET1841" s="1"/>
      <c r="EU1841" s="1"/>
      <c r="EV1841" s="1"/>
      <c r="EW1841" s="1"/>
      <c r="EX1841" s="1"/>
      <c r="EY1841" s="1"/>
      <c r="EZ1841" s="1"/>
      <c r="FA1841" s="1"/>
      <c r="FB1841" s="1"/>
      <c r="FC1841" s="1"/>
      <c r="FD1841" s="1"/>
      <c r="FE1841" s="1"/>
      <c r="FF1841" s="1"/>
      <c r="FG1841" s="1"/>
      <c r="FH1841" s="1"/>
      <c r="FI1841" s="1"/>
      <c r="FJ1841" s="1"/>
      <c r="FK1841" s="1"/>
      <c r="FL1841" s="1"/>
      <c r="FM1841" s="1"/>
      <c r="FN1841" s="1"/>
      <c r="FO1841" s="1"/>
      <c r="FP1841" s="1"/>
      <c r="FQ1841" s="1"/>
      <c r="FR1841" s="1"/>
      <c r="FS1841" s="1"/>
      <c r="FT1841" s="1"/>
      <c r="FU1841" s="1"/>
      <c r="FV1841" s="1"/>
      <c r="FW1841" s="1"/>
      <c r="FX1841" s="1"/>
      <c r="FY1841" s="1"/>
      <c r="FZ1841" s="1"/>
      <c r="GA1841" s="1"/>
      <c r="GB1841" s="1"/>
      <c r="GC1841" s="1"/>
      <c r="GD1841" s="1"/>
      <c r="GE1841" s="1"/>
      <c r="GF1841" s="1"/>
      <c r="GG1841" s="1"/>
      <c r="GH1841" s="1"/>
      <c r="GI1841" s="1"/>
      <c r="GJ1841" s="1"/>
      <c r="GK1841" s="1"/>
      <c r="GL1841" s="1"/>
      <c r="GM1841" s="1"/>
      <c r="GN1841" s="1"/>
      <c r="GO1841" s="1"/>
      <c r="GP1841" s="1"/>
      <c r="GQ1841" s="1"/>
      <c r="GR1841" s="1"/>
      <c r="GS1841" s="1"/>
      <c r="GT1841" s="1"/>
      <c r="GU1841" s="1"/>
      <c r="GV1841" s="1"/>
      <c r="GW1841" s="1"/>
      <c r="GX1841" s="1"/>
      <c r="GY1841" s="1"/>
      <c r="GZ1841" s="1"/>
      <c r="HA1841" s="1"/>
      <c r="HB1841" s="1"/>
      <c r="HC1841" s="1"/>
      <c r="HD1841" s="1"/>
      <c r="HE1841" s="1"/>
      <c r="HF1841" s="1"/>
      <c r="HG1841" s="1"/>
      <c r="HH1841" s="1"/>
    </row>
    <row r="1842" spans="1:216" x14ac:dyDescent="0.3">
      <c r="A1842" s="3"/>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c r="EF1842" s="1"/>
      <c r="EG1842" s="1"/>
      <c r="EH1842" s="1"/>
      <c r="EI1842" s="1"/>
      <c r="EJ1842" s="1"/>
      <c r="EK1842" s="1"/>
      <c r="EL1842" s="1"/>
      <c r="EM1842" s="1"/>
      <c r="EN1842" s="1"/>
      <c r="EO1842" s="1"/>
      <c r="EP1842" s="1"/>
      <c r="EQ1842" s="1"/>
      <c r="ER1842" s="1"/>
      <c r="ES1842" s="1"/>
      <c r="ET1842" s="1"/>
      <c r="EU1842" s="1"/>
      <c r="EV1842" s="1"/>
      <c r="EW1842" s="1"/>
      <c r="EX1842" s="1"/>
      <c r="EY1842" s="1"/>
      <c r="EZ1842" s="1"/>
      <c r="FA1842" s="1"/>
      <c r="FB1842" s="1"/>
      <c r="FC1842" s="1"/>
      <c r="FD1842" s="1"/>
      <c r="FE1842" s="1"/>
      <c r="FF1842" s="1"/>
      <c r="FG1842" s="1"/>
      <c r="FH1842" s="1"/>
      <c r="FI1842" s="1"/>
      <c r="FJ1842" s="1"/>
      <c r="FK1842" s="1"/>
      <c r="FL1842" s="1"/>
      <c r="FM1842" s="1"/>
      <c r="FN1842" s="1"/>
      <c r="FO1842" s="1"/>
      <c r="FP1842" s="1"/>
      <c r="FQ1842" s="1"/>
      <c r="FR1842" s="1"/>
      <c r="FS1842" s="1"/>
      <c r="FT1842" s="1"/>
      <c r="FU1842" s="1"/>
      <c r="FV1842" s="1"/>
      <c r="FW1842" s="1"/>
      <c r="FX1842" s="1"/>
      <c r="FY1842" s="1"/>
      <c r="FZ1842" s="1"/>
      <c r="GA1842" s="1"/>
      <c r="GB1842" s="1"/>
      <c r="GC1842" s="1"/>
      <c r="GD1842" s="1"/>
      <c r="GE1842" s="1"/>
      <c r="GF1842" s="1"/>
      <c r="GG1842" s="1"/>
      <c r="GH1842" s="1"/>
      <c r="GI1842" s="1"/>
      <c r="GJ1842" s="1"/>
      <c r="GK1842" s="1"/>
      <c r="GL1842" s="1"/>
      <c r="GM1842" s="1"/>
      <c r="GN1842" s="1"/>
      <c r="GO1842" s="1"/>
      <c r="GP1842" s="1"/>
      <c r="GQ1842" s="1"/>
      <c r="GR1842" s="1"/>
      <c r="GS1842" s="1"/>
      <c r="GT1842" s="1"/>
      <c r="GU1842" s="1"/>
      <c r="GV1842" s="1"/>
      <c r="GW1842" s="1"/>
      <c r="GX1842" s="1"/>
      <c r="GY1842" s="1"/>
      <c r="GZ1842" s="1"/>
      <c r="HA1842" s="1"/>
      <c r="HB1842" s="1"/>
      <c r="HC1842" s="1"/>
      <c r="HD1842" s="1"/>
      <c r="HE1842" s="1"/>
      <c r="HF1842" s="1"/>
      <c r="HG1842" s="1"/>
      <c r="HH1842" s="1"/>
    </row>
    <row r="1843" spans="1:216" x14ac:dyDescent="0.3">
      <c r="A1843" s="3"/>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c r="EF1843" s="1"/>
      <c r="EG1843" s="1"/>
      <c r="EH1843" s="1"/>
      <c r="EI1843" s="1"/>
      <c r="EJ1843" s="1"/>
      <c r="EK1843" s="1"/>
      <c r="EL1843" s="1"/>
      <c r="EM1843" s="1"/>
      <c r="EN1843" s="1"/>
      <c r="EO1843" s="1"/>
      <c r="EP1843" s="1"/>
      <c r="EQ1843" s="1"/>
      <c r="ER1843" s="1"/>
      <c r="ES1843" s="1"/>
      <c r="ET1843" s="1"/>
      <c r="EU1843" s="1"/>
      <c r="EV1843" s="1"/>
      <c r="EW1843" s="1"/>
      <c r="EX1843" s="1"/>
      <c r="EY1843" s="1"/>
      <c r="EZ1843" s="1"/>
      <c r="FA1843" s="1"/>
      <c r="FB1843" s="1"/>
      <c r="FC1843" s="1"/>
      <c r="FD1843" s="1"/>
      <c r="FE1843" s="1"/>
      <c r="FF1843" s="1"/>
      <c r="FG1843" s="1"/>
      <c r="FH1843" s="1"/>
      <c r="FI1843" s="1"/>
      <c r="FJ1843" s="1"/>
      <c r="FK1843" s="1"/>
      <c r="FL1843" s="1"/>
      <c r="FM1843" s="1"/>
      <c r="FN1843" s="1"/>
      <c r="FO1843" s="1"/>
      <c r="FP1843" s="1"/>
      <c r="FQ1843" s="1"/>
      <c r="FR1843" s="1"/>
      <c r="FS1843" s="1"/>
      <c r="FT1843" s="1"/>
      <c r="FU1843" s="1"/>
      <c r="FV1843" s="1"/>
      <c r="FW1843" s="1"/>
      <c r="FX1843" s="1"/>
      <c r="FY1843" s="1"/>
      <c r="FZ1843" s="1"/>
      <c r="GA1843" s="1"/>
      <c r="GB1843" s="1"/>
      <c r="GC1843" s="1"/>
      <c r="GD1843" s="1"/>
      <c r="GE1843" s="1"/>
      <c r="GF1843" s="1"/>
      <c r="GG1843" s="1"/>
      <c r="GH1843" s="1"/>
      <c r="GI1843" s="1"/>
      <c r="GJ1843" s="1"/>
      <c r="GK1843" s="1"/>
      <c r="GL1843" s="1"/>
      <c r="GM1843" s="1"/>
      <c r="GN1843" s="1"/>
      <c r="GO1843" s="1"/>
      <c r="GP1843" s="1"/>
      <c r="GQ1843" s="1"/>
      <c r="GR1843" s="1"/>
      <c r="GS1843" s="1"/>
      <c r="GT1843" s="1"/>
      <c r="GU1843" s="1"/>
      <c r="GV1843" s="1"/>
      <c r="GW1843" s="1"/>
      <c r="GX1843" s="1"/>
      <c r="GY1843" s="1"/>
      <c r="GZ1843" s="1"/>
      <c r="HA1843" s="1"/>
      <c r="HB1843" s="1"/>
      <c r="HC1843" s="1"/>
      <c r="HD1843" s="1"/>
      <c r="HE1843" s="1"/>
      <c r="HF1843" s="1"/>
      <c r="HG1843" s="1"/>
      <c r="HH1843" s="1"/>
    </row>
    <row r="1844" spans="1:216" x14ac:dyDescent="0.3">
      <c r="A1844" s="3"/>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c r="EF1844" s="1"/>
      <c r="EG1844" s="1"/>
      <c r="EH1844" s="1"/>
      <c r="EI1844" s="1"/>
      <c r="EJ1844" s="1"/>
      <c r="EK1844" s="1"/>
      <c r="EL1844" s="1"/>
      <c r="EM1844" s="1"/>
      <c r="EN1844" s="1"/>
      <c r="EO1844" s="1"/>
      <c r="EP1844" s="1"/>
      <c r="EQ1844" s="1"/>
      <c r="ER1844" s="1"/>
      <c r="ES1844" s="1"/>
      <c r="ET1844" s="1"/>
      <c r="EU1844" s="1"/>
      <c r="EV1844" s="1"/>
      <c r="EW1844" s="1"/>
      <c r="EX1844" s="1"/>
      <c r="EY1844" s="1"/>
      <c r="EZ1844" s="1"/>
      <c r="FA1844" s="1"/>
      <c r="FB1844" s="1"/>
      <c r="FC1844" s="1"/>
      <c r="FD1844" s="1"/>
      <c r="FE1844" s="1"/>
      <c r="FF1844" s="1"/>
      <c r="FG1844" s="1"/>
      <c r="FH1844" s="1"/>
      <c r="FI1844" s="1"/>
      <c r="FJ1844" s="1"/>
      <c r="FK1844" s="1"/>
      <c r="FL1844" s="1"/>
      <c r="FM1844" s="1"/>
      <c r="FN1844" s="1"/>
      <c r="FO1844" s="1"/>
      <c r="FP1844" s="1"/>
      <c r="FQ1844" s="1"/>
      <c r="FR1844" s="1"/>
      <c r="FS1844" s="1"/>
      <c r="FT1844" s="1"/>
      <c r="FU1844" s="1"/>
      <c r="FV1844" s="1"/>
      <c r="FW1844" s="1"/>
      <c r="FX1844" s="1"/>
      <c r="FY1844" s="1"/>
      <c r="FZ1844" s="1"/>
      <c r="GA1844" s="1"/>
      <c r="GB1844" s="1"/>
      <c r="GC1844" s="1"/>
      <c r="GD1844" s="1"/>
      <c r="GE1844" s="1"/>
      <c r="GF1844" s="1"/>
      <c r="GG1844" s="1"/>
      <c r="GH1844" s="1"/>
      <c r="GI1844" s="1"/>
      <c r="GJ1844" s="1"/>
      <c r="GK1844" s="1"/>
      <c r="GL1844" s="1"/>
      <c r="GM1844" s="1"/>
      <c r="GN1844" s="1"/>
      <c r="GO1844" s="1"/>
      <c r="GP1844" s="1"/>
      <c r="GQ1844" s="1"/>
      <c r="GR1844" s="1"/>
      <c r="GS1844" s="1"/>
      <c r="GT1844" s="1"/>
      <c r="GU1844" s="1"/>
      <c r="GV1844" s="1"/>
      <c r="GW1844" s="1"/>
      <c r="GX1844" s="1"/>
      <c r="GY1844" s="1"/>
      <c r="GZ1844" s="1"/>
      <c r="HA1844" s="1"/>
      <c r="HB1844" s="1"/>
      <c r="HC1844" s="1"/>
      <c r="HD1844" s="1"/>
      <c r="HE1844" s="1"/>
      <c r="HF1844" s="1"/>
      <c r="HG1844" s="1"/>
      <c r="HH1844" s="1"/>
    </row>
    <row r="1845" spans="1:216" x14ac:dyDescent="0.3">
      <c r="A1845" s="3"/>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c r="EF1845" s="1"/>
      <c r="EG1845" s="1"/>
      <c r="EH1845" s="1"/>
      <c r="EI1845" s="1"/>
      <c r="EJ1845" s="1"/>
      <c r="EK1845" s="1"/>
      <c r="EL1845" s="1"/>
      <c r="EM1845" s="1"/>
      <c r="EN1845" s="1"/>
      <c r="EO1845" s="1"/>
      <c r="EP1845" s="1"/>
      <c r="EQ1845" s="1"/>
      <c r="ER1845" s="1"/>
      <c r="ES1845" s="1"/>
      <c r="ET1845" s="1"/>
      <c r="EU1845" s="1"/>
      <c r="EV1845" s="1"/>
      <c r="EW1845" s="1"/>
      <c r="EX1845" s="1"/>
      <c r="EY1845" s="1"/>
      <c r="EZ1845" s="1"/>
      <c r="FA1845" s="1"/>
      <c r="FB1845" s="1"/>
      <c r="FC1845" s="1"/>
      <c r="FD1845" s="1"/>
      <c r="FE1845" s="1"/>
      <c r="FF1845" s="1"/>
      <c r="FG1845" s="1"/>
      <c r="FH1845" s="1"/>
      <c r="FI1845" s="1"/>
      <c r="FJ1845" s="1"/>
      <c r="FK1845" s="1"/>
      <c r="FL1845" s="1"/>
      <c r="FM1845" s="1"/>
      <c r="FN1845" s="1"/>
      <c r="FO1845" s="1"/>
      <c r="FP1845" s="1"/>
      <c r="FQ1845" s="1"/>
      <c r="FR1845" s="1"/>
      <c r="FS1845" s="1"/>
      <c r="FT1845" s="1"/>
      <c r="FU1845" s="1"/>
      <c r="FV1845" s="1"/>
      <c r="FW1845" s="1"/>
      <c r="FX1845" s="1"/>
      <c r="FY1845" s="1"/>
      <c r="FZ1845" s="1"/>
      <c r="GA1845" s="1"/>
      <c r="GB1845" s="1"/>
      <c r="GC1845" s="1"/>
      <c r="GD1845" s="1"/>
      <c r="GE1845" s="1"/>
      <c r="GF1845" s="1"/>
      <c r="GG1845" s="1"/>
      <c r="GH1845" s="1"/>
      <c r="GI1845" s="1"/>
      <c r="GJ1845" s="1"/>
      <c r="GK1845" s="1"/>
      <c r="GL1845" s="1"/>
      <c r="GM1845" s="1"/>
      <c r="GN1845" s="1"/>
      <c r="GO1845" s="1"/>
      <c r="GP1845" s="1"/>
      <c r="GQ1845" s="1"/>
      <c r="GR1845" s="1"/>
      <c r="GS1845" s="1"/>
      <c r="GT1845" s="1"/>
      <c r="GU1845" s="1"/>
      <c r="GV1845" s="1"/>
      <c r="GW1845" s="1"/>
      <c r="GX1845" s="1"/>
      <c r="GY1845" s="1"/>
      <c r="GZ1845" s="1"/>
      <c r="HA1845" s="1"/>
      <c r="HB1845" s="1"/>
      <c r="HC1845" s="1"/>
      <c r="HD1845" s="1"/>
      <c r="HE1845" s="1"/>
      <c r="HF1845" s="1"/>
      <c r="HG1845" s="1"/>
      <c r="HH1845" s="1"/>
    </row>
    <row r="1846" spans="1:216" x14ac:dyDescent="0.3">
      <c r="A1846" s="3"/>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c r="EF1846" s="1"/>
      <c r="EG1846" s="1"/>
      <c r="EH1846" s="1"/>
      <c r="EI1846" s="1"/>
      <c r="EJ1846" s="1"/>
      <c r="EK1846" s="1"/>
      <c r="EL1846" s="1"/>
      <c r="EM1846" s="1"/>
      <c r="EN1846" s="1"/>
      <c r="EO1846" s="1"/>
      <c r="EP1846" s="1"/>
      <c r="EQ1846" s="1"/>
      <c r="ER1846" s="1"/>
      <c r="ES1846" s="1"/>
      <c r="ET1846" s="1"/>
      <c r="EU1846" s="1"/>
      <c r="EV1846" s="1"/>
      <c r="EW1846" s="1"/>
      <c r="EX1846" s="1"/>
      <c r="EY1846" s="1"/>
      <c r="EZ1846" s="1"/>
      <c r="FA1846" s="1"/>
      <c r="FB1846" s="1"/>
      <c r="FC1846" s="1"/>
      <c r="FD1846" s="1"/>
      <c r="FE1846" s="1"/>
      <c r="FF1846" s="1"/>
      <c r="FG1846" s="1"/>
      <c r="FH1846" s="1"/>
      <c r="FI1846" s="1"/>
      <c r="FJ1846" s="1"/>
      <c r="FK1846" s="1"/>
      <c r="FL1846" s="1"/>
      <c r="FM1846" s="1"/>
      <c r="FN1846" s="1"/>
      <c r="FO1846" s="1"/>
      <c r="FP1846" s="1"/>
      <c r="FQ1846" s="1"/>
      <c r="FR1846" s="1"/>
      <c r="FS1846" s="1"/>
      <c r="FT1846" s="1"/>
      <c r="FU1846" s="1"/>
      <c r="FV1846" s="1"/>
      <c r="FW1846" s="1"/>
      <c r="FX1846" s="1"/>
      <c r="FY1846" s="1"/>
      <c r="FZ1846" s="1"/>
      <c r="GA1846" s="1"/>
      <c r="GB1846" s="1"/>
      <c r="GC1846" s="1"/>
      <c r="GD1846" s="1"/>
      <c r="GE1846" s="1"/>
      <c r="GF1846" s="1"/>
      <c r="GG1846" s="1"/>
      <c r="GH1846" s="1"/>
      <c r="GI1846" s="1"/>
      <c r="GJ1846" s="1"/>
      <c r="GK1846" s="1"/>
      <c r="GL1846" s="1"/>
      <c r="GM1846" s="1"/>
      <c r="GN1846" s="1"/>
      <c r="GO1846" s="1"/>
      <c r="GP1846" s="1"/>
      <c r="GQ1846" s="1"/>
      <c r="GR1846" s="1"/>
      <c r="GS1846" s="1"/>
      <c r="GT1846" s="1"/>
      <c r="GU1846" s="1"/>
      <c r="GV1846" s="1"/>
      <c r="GW1846" s="1"/>
      <c r="GX1846" s="1"/>
      <c r="GY1846" s="1"/>
      <c r="GZ1846" s="1"/>
      <c r="HA1846" s="1"/>
      <c r="HB1846" s="1"/>
      <c r="HC1846" s="1"/>
      <c r="HD1846" s="1"/>
      <c r="HE1846" s="1"/>
      <c r="HF1846" s="1"/>
      <c r="HG1846" s="1"/>
      <c r="HH1846" s="1"/>
    </row>
    <row r="1847" spans="1:216" x14ac:dyDescent="0.3">
      <c r="A1847" s="3"/>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c r="EF1847" s="1"/>
      <c r="EG1847" s="1"/>
      <c r="EH1847" s="1"/>
      <c r="EI1847" s="1"/>
      <c r="EJ1847" s="1"/>
      <c r="EK1847" s="1"/>
      <c r="EL1847" s="1"/>
      <c r="EM1847" s="1"/>
      <c r="EN1847" s="1"/>
      <c r="EO1847" s="1"/>
      <c r="EP1847" s="1"/>
      <c r="EQ1847" s="1"/>
      <c r="ER1847" s="1"/>
      <c r="ES1847" s="1"/>
      <c r="ET1847" s="1"/>
      <c r="EU1847" s="1"/>
      <c r="EV1847" s="1"/>
      <c r="EW1847" s="1"/>
      <c r="EX1847" s="1"/>
      <c r="EY1847" s="1"/>
      <c r="EZ1847" s="1"/>
      <c r="FA1847" s="1"/>
      <c r="FB1847" s="1"/>
      <c r="FC1847" s="1"/>
      <c r="FD1847" s="1"/>
      <c r="FE1847" s="1"/>
      <c r="FF1847" s="1"/>
      <c r="FG1847" s="1"/>
      <c r="FH1847" s="1"/>
      <c r="FI1847" s="1"/>
      <c r="FJ1847" s="1"/>
      <c r="FK1847" s="1"/>
      <c r="FL1847" s="1"/>
      <c r="FM1847" s="1"/>
      <c r="FN1847" s="1"/>
      <c r="FO1847" s="1"/>
      <c r="FP1847" s="1"/>
      <c r="FQ1847" s="1"/>
      <c r="FR1847" s="1"/>
      <c r="FS1847" s="1"/>
      <c r="FT1847" s="1"/>
      <c r="FU1847" s="1"/>
      <c r="FV1847" s="1"/>
      <c r="FW1847" s="1"/>
      <c r="FX1847" s="1"/>
      <c r="FY1847" s="1"/>
      <c r="FZ1847" s="1"/>
      <c r="GA1847" s="1"/>
      <c r="GB1847" s="1"/>
      <c r="GC1847" s="1"/>
      <c r="GD1847" s="1"/>
      <c r="GE1847" s="1"/>
      <c r="GF1847" s="1"/>
      <c r="GG1847" s="1"/>
      <c r="GH1847" s="1"/>
      <c r="GI1847" s="1"/>
      <c r="GJ1847" s="1"/>
      <c r="GK1847" s="1"/>
      <c r="GL1847" s="1"/>
      <c r="GM1847" s="1"/>
      <c r="GN1847" s="1"/>
      <c r="GO1847" s="1"/>
      <c r="GP1847" s="1"/>
      <c r="GQ1847" s="1"/>
      <c r="GR1847" s="1"/>
      <c r="GS1847" s="1"/>
      <c r="GT1847" s="1"/>
      <c r="GU1847" s="1"/>
      <c r="GV1847" s="1"/>
      <c r="GW1847" s="1"/>
      <c r="GX1847" s="1"/>
      <c r="GY1847" s="1"/>
      <c r="GZ1847" s="1"/>
      <c r="HA1847" s="1"/>
      <c r="HB1847" s="1"/>
      <c r="HC1847" s="1"/>
      <c r="HD1847" s="1"/>
      <c r="HE1847" s="1"/>
      <c r="HF1847" s="1"/>
      <c r="HG1847" s="1"/>
      <c r="HH1847" s="1"/>
    </row>
    <row r="1848" spans="1:216" x14ac:dyDescent="0.3">
      <c r="A1848" s="3"/>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c r="EF1848" s="1"/>
      <c r="EG1848" s="1"/>
      <c r="EH1848" s="1"/>
      <c r="EI1848" s="1"/>
      <c r="EJ1848" s="1"/>
      <c r="EK1848" s="1"/>
      <c r="EL1848" s="1"/>
      <c r="EM1848" s="1"/>
      <c r="EN1848" s="1"/>
      <c r="EO1848" s="1"/>
      <c r="EP1848" s="1"/>
      <c r="EQ1848" s="1"/>
      <c r="ER1848" s="1"/>
      <c r="ES1848" s="1"/>
      <c r="ET1848" s="1"/>
      <c r="EU1848" s="1"/>
      <c r="EV1848" s="1"/>
      <c r="EW1848" s="1"/>
      <c r="EX1848" s="1"/>
      <c r="EY1848" s="1"/>
      <c r="EZ1848" s="1"/>
      <c r="FA1848" s="1"/>
      <c r="FB1848" s="1"/>
      <c r="FC1848" s="1"/>
      <c r="FD1848" s="1"/>
      <c r="FE1848" s="1"/>
      <c r="FF1848" s="1"/>
      <c r="FG1848" s="1"/>
      <c r="FH1848" s="1"/>
      <c r="FI1848" s="1"/>
      <c r="FJ1848" s="1"/>
      <c r="FK1848" s="1"/>
      <c r="FL1848" s="1"/>
      <c r="FM1848" s="1"/>
      <c r="FN1848" s="1"/>
      <c r="FO1848" s="1"/>
      <c r="FP1848" s="1"/>
      <c r="FQ1848" s="1"/>
      <c r="FR1848" s="1"/>
      <c r="FS1848" s="1"/>
      <c r="FT1848" s="1"/>
      <c r="FU1848" s="1"/>
      <c r="FV1848" s="1"/>
      <c r="FW1848" s="1"/>
      <c r="FX1848" s="1"/>
      <c r="FY1848" s="1"/>
      <c r="FZ1848" s="1"/>
      <c r="GA1848" s="1"/>
      <c r="GB1848" s="1"/>
      <c r="GC1848" s="1"/>
      <c r="GD1848" s="1"/>
      <c r="GE1848" s="1"/>
      <c r="GF1848" s="1"/>
      <c r="GG1848" s="1"/>
      <c r="GH1848" s="1"/>
      <c r="GI1848" s="1"/>
      <c r="GJ1848" s="1"/>
      <c r="GK1848" s="1"/>
      <c r="GL1848" s="1"/>
      <c r="GM1848" s="1"/>
      <c r="GN1848" s="1"/>
      <c r="GO1848" s="1"/>
      <c r="GP1848" s="1"/>
      <c r="GQ1848" s="1"/>
      <c r="GR1848" s="1"/>
      <c r="GS1848" s="1"/>
      <c r="GT1848" s="1"/>
      <c r="GU1848" s="1"/>
      <c r="GV1848" s="1"/>
      <c r="GW1848" s="1"/>
      <c r="GX1848" s="1"/>
      <c r="GY1848" s="1"/>
      <c r="GZ1848" s="1"/>
      <c r="HA1848" s="1"/>
      <c r="HB1848" s="1"/>
      <c r="HC1848" s="1"/>
      <c r="HD1848" s="1"/>
      <c r="HE1848" s="1"/>
      <c r="HF1848" s="1"/>
      <c r="HG1848" s="1"/>
      <c r="HH1848" s="1"/>
    </row>
    <row r="1849" spans="1:216" x14ac:dyDescent="0.3">
      <c r="A1849" s="3"/>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c r="EF1849" s="1"/>
      <c r="EG1849" s="1"/>
      <c r="EH1849" s="1"/>
      <c r="EI1849" s="1"/>
      <c r="EJ1849" s="1"/>
      <c r="EK1849" s="1"/>
      <c r="EL1849" s="1"/>
      <c r="EM1849" s="1"/>
      <c r="EN1849" s="1"/>
      <c r="EO1849" s="1"/>
      <c r="EP1849" s="1"/>
      <c r="EQ1849" s="1"/>
      <c r="ER1849" s="1"/>
      <c r="ES1849" s="1"/>
      <c r="ET1849" s="1"/>
      <c r="EU1849" s="1"/>
      <c r="EV1849" s="1"/>
      <c r="EW1849" s="1"/>
      <c r="EX1849" s="1"/>
      <c r="EY1849" s="1"/>
      <c r="EZ1849" s="1"/>
      <c r="FA1849" s="1"/>
      <c r="FB1849" s="1"/>
      <c r="FC1849" s="1"/>
      <c r="FD1849" s="1"/>
      <c r="FE1849" s="1"/>
      <c r="FF1849" s="1"/>
      <c r="FG1849" s="1"/>
      <c r="FH1849" s="1"/>
      <c r="FI1849" s="1"/>
      <c r="FJ1849" s="1"/>
      <c r="FK1849" s="1"/>
      <c r="FL1849" s="1"/>
      <c r="FM1849" s="1"/>
      <c r="FN1849" s="1"/>
      <c r="FO1849" s="1"/>
      <c r="FP1849" s="1"/>
      <c r="FQ1849" s="1"/>
      <c r="FR1849" s="1"/>
      <c r="FS1849" s="1"/>
      <c r="FT1849" s="1"/>
      <c r="FU1849" s="1"/>
      <c r="FV1849" s="1"/>
      <c r="FW1849" s="1"/>
      <c r="FX1849" s="1"/>
      <c r="FY1849" s="1"/>
      <c r="FZ1849" s="1"/>
      <c r="GA1849" s="1"/>
      <c r="GB1849" s="1"/>
      <c r="GC1849" s="1"/>
      <c r="GD1849" s="1"/>
      <c r="GE1849" s="1"/>
      <c r="GF1849" s="1"/>
      <c r="GG1849" s="1"/>
      <c r="GH1849" s="1"/>
      <c r="GI1849" s="1"/>
      <c r="GJ1849" s="1"/>
      <c r="GK1849" s="1"/>
      <c r="GL1849" s="1"/>
      <c r="GM1849" s="1"/>
      <c r="GN1849" s="1"/>
      <c r="GO1849" s="1"/>
      <c r="GP1849" s="1"/>
      <c r="GQ1849" s="1"/>
      <c r="GR1849" s="1"/>
      <c r="GS1849" s="1"/>
      <c r="GT1849" s="1"/>
      <c r="GU1849" s="1"/>
      <c r="GV1849" s="1"/>
      <c r="GW1849" s="1"/>
      <c r="GX1849" s="1"/>
      <c r="GY1849" s="1"/>
      <c r="GZ1849" s="1"/>
      <c r="HA1849" s="1"/>
      <c r="HB1849" s="1"/>
      <c r="HC1849" s="1"/>
      <c r="HD1849" s="1"/>
      <c r="HE1849" s="1"/>
      <c r="HF1849" s="1"/>
      <c r="HG1849" s="1"/>
      <c r="HH1849" s="1"/>
    </row>
    <row r="1850" spans="1:216" x14ac:dyDescent="0.3">
      <c r="A1850" s="3"/>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c r="EF1850" s="1"/>
      <c r="EG1850" s="1"/>
      <c r="EH1850" s="1"/>
      <c r="EI1850" s="1"/>
      <c r="EJ1850" s="1"/>
      <c r="EK1850" s="1"/>
      <c r="EL1850" s="1"/>
      <c r="EM1850" s="1"/>
      <c r="EN1850" s="1"/>
      <c r="EO1850" s="1"/>
      <c r="EP1850" s="1"/>
      <c r="EQ1850" s="1"/>
      <c r="ER1850" s="1"/>
      <c r="ES1850" s="1"/>
      <c r="ET1850" s="1"/>
      <c r="EU1850" s="1"/>
      <c r="EV1850" s="1"/>
      <c r="EW1850" s="1"/>
      <c r="EX1850" s="1"/>
      <c r="EY1850" s="1"/>
      <c r="EZ1850" s="1"/>
      <c r="FA1850" s="1"/>
      <c r="FB1850" s="1"/>
      <c r="FC1850" s="1"/>
      <c r="FD1850" s="1"/>
      <c r="FE1850" s="1"/>
      <c r="FF1850" s="1"/>
      <c r="FG1850" s="1"/>
      <c r="FH1850" s="1"/>
      <c r="FI1850" s="1"/>
      <c r="FJ1850" s="1"/>
      <c r="FK1850" s="1"/>
      <c r="FL1850" s="1"/>
      <c r="FM1850" s="1"/>
      <c r="FN1850" s="1"/>
      <c r="FO1850" s="1"/>
      <c r="FP1850" s="1"/>
      <c r="FQ1850" s="1"/>
      <c r="FR1850" s="1"/>
      <c r="FS1850" s="1"/>
      <c r="FT1850" s="1"/>
      <c r="FU1850" s="1"/>
      <c r="FV1850" s="1"/>
      <c r="FW1850" s="1"/>
      <c r="FX1850" s="1"/>
      <c r="FY1850" s="1"/>
      <c r="FZ1850" s="1"/>
      <c r="GA1850" s="1"/>
      <c r="GB1850" s="1"/>
      <c r="GC1850" s="1"/>
      <c r="GD1850" s="1"/>
      <c r="GE1850" s="1"/>
      <c r="GF1850" s="1"/>
      <c r="GG1850" s="1"/>
      <c r="GH1850" s="1"/>
      <c r="GI1850" s="1"/>
      <c r="GJ1850" s="1"/>
      <c r="GK1850" s="1"/>
      <c r="GL1850" s="1"/>
      <c r="GM1850" s="1"/>
      <c r="GN1850" s="1"/>
      <c r="GO1850" s="1"/>
      <c r="GP1850" s="1"/>
      <c r="GQ1850" s="1"/>
      <c r="GR1850" s="1"/>
      <c r="GS1850" s="1"/>
      <c r="GT1850" s="1"/>
      <c r="GU1850" s="1"/>
      <c r="GV1850" s="1"/>
      <c r="GW1850" s="1"/>
      <c r="GX1850" s="1"/>
      <c r="GY1850" s="1"/>
      <c r="GZ1850" s="1"/>
      <c r="HA1850" s="1"/>
      <c r="HB1850" s="1"/>
      <c r="HC1850" s="1"/>
      <c r="HD1850" s="1"/>
      <c r="HE1850" s="1"/>
      <c r="HF1850" s="1"/>
      <c r="HG1850" s="1"/>
      <c r="HH1850" s="1"/>
    </row>
    <row r="1851" spans="1:216" x14ac:dyDescent="0.3">
      <c r="A1851" s="3"/>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c r="EF1851" s="1"/>
      <c r="EG1851" s="1"/>
      <c r="EH1851" s="1"/>
      <c r="EI1851" s="1"/>
      <c r="EJ1851" s="1"/>
      <c r="EK1851" s="1"/>
      <c r="EL1851" s="1"/>
      <c r="EM1851" s="1"/>
      <c r="EN1851" s="1"/>
      <c r="EO1851" s="1"/>
      <c r="EP1851" s="1"/>
      <c r="EQ1851" s="1"/>
      <c r="ER1851" s="1"/>
      <c r="ES1851" s="1"/>
      <c r="ET1851" s="1"/>
      <c r="EU1851" s="1"/>
      <c r="EV1851" s="1"/>
      <c r="EW1851" s="1"/>
      <c r="EX1851" s="1"/>
      <c r="EY1851" s="1"/>
      <c r="EZ1851" s="1"/>
      <c r="FA1851" s="1"/>
      <c r="FB1851" s="1"/>
      <c r="FC1851" s="1"/>
      <c r="FD1851" s="1"/>
      <c r="FE1851" s="1"/>
      <c r="FF1851" s="1"/>
      <c r="FG1851" s="1"/>
      <c r="FH1851" s="1"/>
      <c r="FI1851" s="1"/>
      <c r="FJ1851" s="1"/>
      <c r="FK1851" s="1"/>
      <c r="FL1851" s="1"/>
      <c r="FM1851" s="1"/>
      <c r="FN1851" s="1"/>
      <c r="FO1851" s="1"/>
      <c r="FP1851" s="1"/>
      <c r="FQ1851" s="1"/>
      <c r="FR1851" s="1"/>
      <c r="FS1851" s="1"/>
      <c r="FT1851" s="1"/>
      <c r="FU1851" s="1"/>
      <c r="FV1851" s="1"/>
      <c r="FW1851" s="1"/>
      <c r="FX1851" s="1"/>
      <c r="FY1851" s="1"/>
      <c r="FZ1851" s="1"/>
      <c r="GA1851" s="1"/>
      <c r="GB1851" s="1"/>
      <c r="GC1851" s="1"/>
      <c r="GD1851" s="1"/>
      <c r="GE1851" s="1"/>
      <c r="GF1851" s="1"/>
      <c r="GG1851" s="1"/>
      <c r="GH1851" s="1"/>
      <c r="GI1851" s="1"/>
      <c r="GJ1851" s="1"/>
      <c r="GK1851" s="1"/>
      <c r="GL1851" s="1"/>
      <c r="GM1851" s="1"/>
      <c r="GN1851" s="1"/>
      <c r="GO1851" s="1"/>
      <c r="GP1851" s="1"/>
      <c r="GQ1851" s="1"/>
      <c r="GR1851" s="1"/>
      <c r="GS1851" s="1"/>
      <c r="GT1851" s="1"/>
      <c r="GU1851" s="1"/>
      <c r="GV1851" s="1"/>
      <c r="GW1851" s="1"/>
      <c r="GX1851" s="1"/>
      <c r="GY1851" s="1"/>
      <c r="GZ1851" s="1"/>
      <c r="HA1851" s="1"/>
      <c r="HB1851" s="1"/>
      <c r="HC1851" s="1"/>
      <c r="HD1851" s="1"/>
      <c r="HE1851" s="1"/>
      <c r="HF1851" s="1"/>
      <c r="HG1851" s="1"/>
      <c r="HH1851" s="1"/>
    </row>
    <row r="1852" spans="1:216" x14ac:dyDescent="0.3">
      <c r="A1852" s="3"/>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c r="EF1852" s="1"/>
      <c r="EG1852" s="1"/>
      <c r="EH1852" s="1"/>
      <c r="EI1852" s="1"/>
      <c r="EJ1852" s="1"/>
      <c r="EK1852" s="1"/>
      <c r="EL1852" s="1"/>
      <c r="EM1852" s="1"/>
      <c r="EN1852" s="1"/>
      <c r="EO1852" s="1"/>
      <c r="EP1852" s="1"/>
      <c r="EQ1852" s="1"/>
      <c r="ER1852" s="1"/>
      <c r="ES1852" s="1"/>
      <c r="ET1852" s="1"/>
      <c r="EU1852" s="1"/>
      <c r="EV1852" s="1"/>
      <c r="EW1852" s="1"/>
      <c r="EX1852" s="1"/>
      <c r="EY1852" s="1"/>
      <c r="EZ1852" s="1"/>
      <c r="FA1852" s="1"/>
      <c r="FB1852" s="1"/>
      <c r="FC1852" s="1"/>
      <c r="FD1852" s="1"/>
      <c r="FE1852" s="1"/>
      <c r="FF1852" s="1"/>
      <c r="FG1852" s="1"/>
      <c r="FH1852" s="1"/>
      <c r="FI1852" s="1"/>
      <c r="FJ1852" s="1"/>
      <c r="FK1852" s="1"/>
      <c r="FL1852" s="1"/>
      <c r="FM1852" s="1"/>
      <c r="FN1852" s="1"/>
      <c r="FO1852" s="1"/>
      <c r="FP1852" s="1"/>
      <c r="FQ1852" s="1"/>
      <c r="FR1852" s="1"/>
      <c r="FS1852" s="1"/>
      <c r="FT1852" s="1"/>
      <c r="FU1852" s="1"/>
      <c r="FV1852" s="1"/>
      <c r="FW1852" s="1"/>
      <c r="FX1852" s="1"/>
      <c r="FY1852" s="1"/>
      <c r="FZ1852" s="1"/>
      <c r="GA1852" s="1"/>
      <c r="GB1852" s="1"/>
      <c r="GC1852" s="1"/>
      <c r="GD1852" s="1"/>
      <c r="GE1852" s="1"/>
      <c r="GF1852" s="1"/>
      <c r="GG1852" s="1"/>
      <c r="GH1852" s="1"/>
      <c r="GI1852" s="1"/>
      <c r="GJ1852" s="1"/>
      <c r="GK1852" s="1"/>
      <c r="GL1852" s="1"/>
      <c r="GM1852" s="1"/>
      <c r="GN1852" s="1"/>
      <c r="GO1852" s="1"/>
      <c r="GP1852" s="1"/>
      <c r="GQ1852" s="1"/>
      <c r="GR1852" s="1"/>
      <c r="GS1852" s="1"/>
      <c r="GT1852" s="1"/>
      <c r="GU1852" s="1"/>
      <c r="GV1852" s="1"/>
      <c r="GW1852" s="1"/>
      <c r="GX1852" s="1"/>
      <c r="GY1852" s="1"/>
      <c r="GZ1852" s="1"/>
      <c r="HA1852" s="1"/>
      <c r="HB1852" s="1"/>
      <c r="HC1852" s="1"/>
      <c r="HD1852" s="1"/>
      <c r="HE1852" s="1"/>
      <c r="HF1852" s="1"/>
      <c r="HG1852" s="1"/>
      <c r="HH1852" s="1"/>
    </row>
    <row r="1853" spans="1:216" x14ac:dyDescent="0.3">
      <c r="A1853" s="3"/>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c r="EF1853" s="1"/>
      <c r="EG1853" s="1"/>
      <c r="EH1853" s="1"/>
      <c r="EI1853" s="1"/>
      <c r="EJ1853" s="1"/>
      <c r="EK1853" s="1"/>
      <c r="EL1853" s="1"/>
      <c r="EM1853" s="1"/>
      <c r="EN1853" s="1"/>
      <c r="EO1853" s="1"/>
      <c r="EP1853" s="1"/>
      <c r="EQ1853" s="1"/>
      <c r="ER1853" s="1"/>
      <c r="ES1853" s="1"/>
      <c r="ET1853" s="1"/>
      <c r="EU1853" s="1"/>
      <c r="EV1853" s="1"/>
      <c r="EW1853" s="1"/>
      <c r="EX1853" s="1"/>
      <c r="EY1853" s="1"/>
      <c r="EZ1853" s="1"/>
      <c r="FA1853" s="1"/>
      <c r="FB1853" s="1"/>
      <c r="FC1853" s="1"/>
      <c r="FD1853" s="1"/>
      <c r="FE1853" s="1"/>
      <c r="FF1853" s="1"/>
      <c r="FG1853" s="1"/>
      <c r="FH1853" s="1"/>
      <c r="FI1853" s="1"/>
      <c r="FJ1853" s="1"/>
      <c r="FK1853" s="1"/>
      <c r="FL1853" s="1"/>
      <c r="FM1853" s="1"/>
      <c r="FN1853" s="1"/>
      <c r="FO1853" s="1"/>
      <c r="FP1853" s="1"/>
      <c r="FQ1853" s="1"/>
      <c r="FR1853" s="1"/>
      <c r="FS1853" s="1"/>
      <c r="FT1853" s="1"/>
      <c r="FU1853" s="1"/>
      <c r="FV1853" s="1"/>
      <c r="FW1853" s="1"/>
      <c r="FX1853" s="1"/>
      <c r="FY1853" s="1"/>
      <c r="FZ1853" s="1"/>
      <c r="GA1853" s="1"/>
      <c r="GB1853" s="1"/>
      <c r="GC1853" s="1"/>
      <c r="GD1853" s="1"/>
      <c r="GE1853" s="1"/>
      <c r="GF1853" s="1"/>
      <c r="GG1853" s="1"/>
      <c r="GH1853" s="1"/>
      <c r="GI1853" s="1"/>
      <c r="GJ1853" s="1"/>
      <c r="GK1853" s="1"/>
      <c r="GL1853" s="1"/>
      <c r="GM1853" s="1"/>
      <c r="GN1853" s="1"/>
      <c r="GO1853" s="1"/>
      <c r="GP1853" s="1"/>
      <c r="GQ1853" s="1"/>
      <c r="GR1853" s="1"/>
      <c r="GS1853" s="1"/>
      <c r="GT1853" s="1"/>
      <c r="GU1853" s="1"/>
      <c r="GV1853" s="1"/>
      <c r="GW1853" s="1"/>
      <c r="GX1853" s="1"/>
      <c r="GY1853" s="1"/>
      <c r="GZ1853" s="1"/>
      <c r="HA1853" s="1"/>
      <c r="HB1853" s="1"/>
      <c r="HC1853" s="1"/>
      <c r="HD1853" s="1"/>
      <c r="HE1853" s="1"/>
      <c r="HF1853" s="1"/>
      <c r="HG1853" s="1"/>
      <c r="HH1853" s="1"/>
    </row>
    <row r="1854" spans="1:216" x14ac:dyDescent="0.3">
      <c r="A1854" s="3"/>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c r="GL1854" s="1"/>
      <c r="GM1854" s="1"/>
      <c r="GN1854" s="1"/>
      <c r="GO1854" s="1"/>
      <c r="GP1854" s="1"/>
      <c r="GQ1854" s="1"/>
      <c r="GR1854" s="1"/>
      <c r="GS1854" s="1"/>
      <c r="GT1854" s="1"/>
      <c r="GU1854" s="1"/>
      <c r="GV1854" s="1"/>
      <c r="GW1854" s="1"/>
      <c r="GX1854" s="1"/>
      <c r="GY1854" s="1"/>
      <c r="GZ1854" s="1"/>
      <c r="HA1854" s="1"/>
      <c r="HB1854" s="1"/>
      <c r="HC1854" s="1"/>
      <c r="HD1854" s="1"/>
      <c r="HE1854" s="1"/>
      <c r="HF1854" s="1"/>
      <c r="HG1854" s="1"/>
      <c r="HH1854" s="1"/>
    </row>
    <row r="1855" spans="1:216" x14ac:dyDescent="0.3">
      <c r="A1855" s="3"/>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c r="GL1855" s="1"/>
      <c r="GM1855" s="1"/>
      <c r="GN1855" s="1"/>
      <c r="GO1855" s="1"/>
      <c r="GP1855" s="1"/>
      <c r="GQ1855" s="1"/>
      <c r="GR1855" s="1"/>
      <c r="GS1855" s="1"/>
      <c r="GT1855" s="1"/>
      <c r="GU1855" s="1"/>
      <c r="GV1855" s="1"/>
      <c r="GW1855" s="1"/>
      <c r="GX1855" s="1"/>
      <c r="GY1855" s="1"/>
      <c r="GZ1855" s="1"/>
      <c r="HA1855" s="1"/>
      <c r="HB1855" s="1"/>
      <c r="HC1855" s="1"/>
      <c r="HD1855" s="1"/>
      <c r="HE1855" s="1"/>
      <c r="HF1855" s="1"/>
      <c r="HG1855" s="1"/>
      <c r="HH1855" s="1"/>
    </row>
    <row r="1856" spans="1:216" x14ac:dyDescent="0.3">
      <c r="A1856" s="3"/>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c r="FN1856" s="1"/>
      <c r="FO1856" s="1"/>
      <c r="FP1856" s="1"/>
      <c r="FQ1856" s="1"/>
      <c r="FR1856" s="1"/>
      <c r="FS1856" s="1"/>
      <c r="FT1856" s="1"/>
      <c r="FU1856" s="1"/>
      <c r="FV1856" s="1"/>
      <c r="FW1856" s="1"/>
      <c r="FX1856" s="1"/>
      <c r="FY1856" s="1"/>
      <c r="FZ1856" s="1"/>
      <c r="GA1856" s="1"/>
      <c r="GB1856" s="1"/>
      <c r="GC1856" s="1"/>
      <c r="GD1856" s="1"/>
      <c r="GE1856" s="1"/>
      <c r="GF1856" s="1"/>
      <c r="GG1856" s="1"/>
      <c r="GH1856" s="1"/>
      <c r="GI1856" s="1"/>
      <c r="GJ1856" s="1"/>
      <c r="GK1856" s="1"/>
      <c r="GL1856" s="1"/>
      <c r="GM1856" s="1"/>
      <c r="GN1856" s="1"/>
      <c r="GO1856" s="1"/>
      <c r="GP1856" s="1"/>
      <c r="GQ1856" s="1"/>
      <c r="GR1856" s="1"/>
      <c r="GS1856" s="1"/>
      <c r="GT1856" s="1"/>
      <c r="GU1856" s="1"/>
      <c r="GV1856" s="1"/>
      <c r="GW1856" s="1"/>
      <c r="GX1856" s="1"/>
      <c r="GY1856" s="1"/>
      <c r="GZ1856" s="1"/>
      <c r="HA1856" s="1"/>
      <c r="HB1856" s="1"/>
      <c r="HC1856" s="1"/>
      <c r="HD1856" s="1"/>
      <c r="HE1856" s="1"/>
      <c r="HF1856" s="1"/>
      <c r="HG1856" s="1"/>
      <c r="HH1856" s="1"/>
    </row>
    <row r="1857" spans="1:216" x14ac:dyDescent="0.3">
      <c r="A1857" s="3"/>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c r="GL1857" s="1"/>
      <c r="GM1857" s="1"/>
      <c r="GN1857" s="1"/>
      <c r="GO1857" s="1"/>
      <c r="GP1857" s="1"/>
      <c r="GQ1857" s="1"/>
      <c r="GR1857" s="1"/>
      <c r="GS1857" s="1"/>
      <c r="GT1857" s="1"/>
      <c r="GU1857" s="1"/>
      <c r="GV1857" s="1"/>
      <c r="GW1857" s="1"/>
      <c r="GX1857" s="1"/>
      <c r="GY1857" s="1"/>
      <c r="GZ1857" s="1"/>
      <c r="HA1857" s="1"/>
      <c r="HB1857" s="1"/>
      <c r="HC1857" s="1"/>
      <c r="HD1857" s="1"/>
      <c r="HE1857" s="1"/>
      <c r="HF1857" s="1"/>
      <c r="HG1857" s="1"/>
      <c r="HH1857" s="1"/>
    </row>
    <row r="1858" spans="1:216" x14ac:dyDescent="0.3">
      <c r="A1858" s="3"/>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c r="FN1858" s="1"/>
      <c r="FO1858" s="1"/>
      <c r="FP1858" s="1"/>
      <c r="FQ1858" s="1"/>
      <c r="FR1858" s="1"/>
      <c r="FS1858" s="1"/>
      <c r="FT1858" s="1"/>
      <c r="FU1858" s="1"/>
      <c r="FV1858" s="1"/>
      <c r="FW1858" s="1"/>
      <c r="FX1858" s="1"/>
      <c r="FY1858" s="1"/>
      <c r="FZ1858" s="1"/>
      <c r="GA1858" s="1"/>
      <c r="GB1858" s="1"/>
      <c r="GC1858" s="1"/>
      <c r="GD1858" s="1"/>
      <c r="GE1858" s="1"/>
      <c r="GF1858" s="1"/>
      <c r="GG1858" s="1"/>
      <c r="GH1858" s="1"/>
      <c r="GI1858" s="1"/>
      <c r="GJ1858" s="1"/>
      <c r="GK1858" s="1"/>
      <c r="GL1858" s="1"/>
      <c r="GM1858" s="1"/>
      <c r="GN1858" s="1"/>
      <c r="GO1858" s="1"/>
      <c r="GP1858" s="1"/>
      <c r="GQ1858" s="1"/>
      <c r="GR1858" s="1"/>
      <c r="GS1858" s="1"/>
      <c r="GT1858" s="1"/>
      <c r="GU1858" s="1"/>
      <c r="GV1858" s="1"/>
      <c r="GW1858" s="1"/>
      <c r="GX1858" s="1"/>
      <c r="GY1858" s="1"/>
      <c r="GZ1858" s="1"/>
      <c r="HA1858" s="1"/>
      <c r="HB1858" s="1"/>
      <c r="HC1858" s="1"/>
      <c r="HD1858" s="1"/>
      <c r="HE1858" s="1"/>
      <c r="HF1858" s="1"/>
      <c r="HG1858" s="1"/>
      <c r="HH1858" s="1"/>
    </row>
    <row r="1859" spans="1:216" x14ac:dyDescent="0.3">
      <c r="A1859" s="3"/>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c r="GL1859" s="1"/>
      <c r="GM1859" s="1"/>
      <c r="GN1859" s="1"/>
      <c r="GO1859" s="1"/>
      <c r="GP1859" s="1"/>
      <c r="GQ1859" s="1"/>
      <c r="GR1859" s="1"/>
      <c r="GS1859" s="1"/>
      <c r="GT1859" s="1"/>
      <c r="GU1859" s="1"/>
      <c r="GV1859" s="1"/>
      <c r="GW1859" s="1"/>
      <c r="GX1859" s="1"/>
      <c r="GY1859" s="1"/>
      <c r="GZ1859" s="1"/>
      <c r="HA1859" s="1"/>
      <c r="HB1859" s="1"/>
      <c r="HC1859" s="1"/>
      <c r="HD1859" s="1"/>
      <c r="HE1859" s="1"/>
      <c r="HF1859" s="1"/>
      <c r="HG1859" s="1"/>
      <c r="HH1859" s="1"/>
    </row>
    <row r="1860" spans="1:216" x14ac:dyDescent="0.3">
      <c r="A1860" s="3"/>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c r="GL1860" s="1"/>
      <c r="GM1860" s="1"/>
      <c r="GN1860" s="1"/>
      <c r="GO1860" s="1"/>
      <c r="GP1860" s="1"/>
      <c r="GQ1860" s="1"/>
      <c r="GR1860" s="1"/>
      <c r="GS1860" s="1"/>
      <c r="GT1860" s="1"/>
      <c r="GU1860" s="1"/>
      <c r="GV1860" s="1"/>
      <c r="GW1860" s="1"/>
      <c r="GX1860" s="1"/>
      <c r="GY1860" s="1"/>
      <c r="GZ1860" s="1"/>
      <c r="HA1860" s="1"/>
      <c r="HB1860" s="1"/>
      <c r="HC1860" s="1"/>
      <c r="HD1860" s="1"/>
      <c r="HE1860" s="1"/>
      <c r="HF1860" s="1"/>
      <c r="HG1860" s="1"/>
      <c r="HH1860" s="1"/>
    </row>
    <row r="1861" spans="1:216" x14ac:dyDescent="0.3">
      <c r="A1861" s="3"/>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c r="FN1861" s="1"/>
      <c r="FO1861" s="1"/>
      <c r="FP1861" s="1"/>
      <c r="FQ1861" s="1"/>
      <c r="FR1861" s="1"/>
      <c r="FS1861" s="1"/>
      <c r="FT1861" s="1"/>
      <c r="FU1861" s="1"/>
      <c r="FV1861" s="1"/>
      <c r="FW1861" s="1"/>
      <c r="FX1861" s="1"/>
      <c r="FY1861" s="1"/>
      <c r="FZ1861" s="1"/>
      <c r="GA1861" s="1"/>
      <c r="GB1861" s="1"/>
      <c r="GC1861" s="1"/>
      <c r="GD1861" s="1"/>
      <c r="GE1861" s="1"/>
      <c r="GF1861" s="1"/>
      <c r="GG1861" s="1"/>
      <c r="GH1861" s="1"/>
      <c r="GI1861" s="1"/>
      <c r="GJ1861" s="1"/>
      <c r="GK1861" s="1"/>
      <c r="GL1861" s="1"/>
      <c r="GM1861" s="1"/>
      <c r="GN1861" s="1"/>
      <c r="GO1861" s="1"/>
      <c r="GP1861" s="1"/>
      <c r="GQ1861" s="1"/>
      <c r="GR1861" s="1"/>
      <c r="GS1861" s="1"/>
      <c r="GT1861" s="1"/>
      <c r="GU1861" s="1"/>
      <c r="GV1861" s="1"/>
      <c r="GW1861" s="1"/>
      <c r="GX1861" s="1"/>
      <c r="GY1861" s="1"/>
      <c r="GZ1861" s="1"/>
      <c r="HA1861" s="1"/>
      <c r="HB1861" s="1"/>
      <c r="HC1861" s="1"/>
      <c r="HD1861" s="1"/>
      <c r="HE1861" s="1"/>
      <c r="HF1861" s="1"/>
      <c r="HG1861" s="1"/>
      <c r="HH1861" s="1"/>
    </row>
    <row r="1862" spans="1:216" x14ac:dyDescent="0.3">
      <c r="A1862" s="3"/>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c r="FM1862" s="1"/>
      <c r="FN1862" s="1"/>
      <c r="FO1862" s="1"/>
      <c r="FP1862" s="1"/>
      <c r="FQ1862" s="1"/>
      <c r="FR1862" s="1"/>
      <c r="FS1862" s="1"/>
      <c r="FT1862" s="1"/>
      <c r="FU1862" s="1"/>
      <c r="FV1862" s="1"/>
      <c r="FW1862" s="1"/>
      <c r="FX1862" s="1"/>
      <c r="FY1862" s="1"/>
      <c r="FZ1862" s="1"/>
      <c r="GA1862" s="1"/>
      <c r="GB1862" s="1"/>
      <c r="GC1862" s="1"/>
      <c r="GD1862" s="1"/>
      <c r="GE1862" s="1"/>
      <c r="GF1862" s="1"/>
      <c r="GG1862" s="1"/>
      <c r="GH1862" s="1"/>
      <c r="GI1862" s="1"/>
      <c r="GJ1862" s="1"/>
      <c r="GK1862" s="1"/>
      <c r="GL1862" s="1"/>
      <c r="GM1862" s="1"/>
      <c r="GN1862" s="1"/>
      <c r="GO1862" s="1"/>
      <c r="GP1862" s="1"/>
      <c r="GQ1862" s="1"/>
      <c r="GR1862" s="1"/>
      <c r="GS1862" s="1"/>
      <c r="GT1862" s="1"/>
      <c r="GU1862" s="1"/>
      <c r="GV1862" s="1"/>
      <c r="GW1862" s="1"/>
      <c r="GX1862" s="1"/>
      <c r="GY1862" s="1"/>
      <c r="GZ1862" s="1"/>
      <c r="HA1862" s="1"/>
      <c r="HB1862" s="1"/>
      <c r="HC1862" s="1"/>
      <c r="HD1862" s="1"/>
      <c r="HE1862" s="1"/>
      <c r="HF1862" s="1"/>
      <c r="HG1862" s="1"/>
      <c r="HH1862" s="1"/>
    </row>
    <row r="1863" spans="1:216" x14ac:dyDescent="0.3">
      <c r="A1863" s="3"/>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c r="EF1863" s="1"/>
      <c r="EG1863" s="1"/>
      <c r="EH1863" s="1"/>
      <c r="EI1863" s="1"/>
      <c r="EJ1863" s="1"/>
      <c r="EK1863" s="1"/>
      <c r="EL1863" s="1"/>
      <c r="EM1863" s="1"/>
      <c r="EN1863" s="1"/>
      <c r="EO1863" s="1"/>
      <c r="EP1863" s="1"/>
      <c r="EQ1863" s="1"/>
      <c r="ER1863" s="1"/>
      <c r="ES1863" s="1"/>
      <c r="ET1863" s="1"/>
      <c r="EU1863" s="1"/>
      <c r="EV1863" s="1"/>
      <c r="EW1863" s="1"/>
      <c r="EX1863" s="1"/>
      <c r="EY1863" s="1"/>
      <c r="EZ1863" s="1"/>
      <c r="FA1863" s="1"/>
      <c r="FB1863" s="1"/>
      <c r="FC1863" s="1"/>
      <c r="FD1863" s="1"/>
      <c r="FE1863" s="1"/>
      <c r="FF1863" s="1"/>
      <c r="FG1863" s="1"/>
      <c r="FH1863" s="1"/>
      <c r="FI1863" s="1"/>
      <c r="FJ1863" s="1"/>
      <c r="FK1863" s="1"/>
      <c r="FL1863" s="1"/>
      <c r="FM1863" s="1"/>
      <c r="FN1863" s="1"/>
      <c r="FO1863" s="1"/>
      <c r="FP1863" s="1"/>
      <c r="FQ1863" s="1"/>
      <c r="FR1863" s="1"/>
      <c r="FS1863" s="1"/>
      <c r="FT1863" s="1"/>
      <c r="FU1863" s="1"/>
      <c r="FV1863" s="1"/>
      <c r="FW1863" s="1"/>
      <c r="FX1863" s="1"/>
      <c r="FY1863" s="1"/>
      <c r="FZ1863" s="1"/>
      <c r="GA1863" s="1"/>
      <c r="GB1863" s="1"/>
      <c r="GC1863" s="1"/>
      <c r="GD1863" s="1"/>
      <c r="GE1863" s="1"/>
      <c r="GF1863" s="1"/>
      <c r="GG1863" s="1"/>
      <c r="GH1863" s="1"/>
      <c r="GI1863" s="1"/>
      <c r="GJ1863" s="1"/>
      <c r="GK1863" s="1"/>
      <c r="GL1863" s="1"/>
      <c r="GM1863" s="1"/>
      <c r="GN1863" s="1"/>
      <c r="GO1863" s="1"/>
      <c r="GP1863" s="1"/>
      <c r="GQ1863" s="1"/>
      <c r="GR1863" s="1"/>
      <c r="GS1863" s="1"/>
      <c r="GT1863" s="1"/>
      <c r="GU1863" s="1"/>
      <c r="GV1863" s="1"/>
      <c r="GW1863" s="1"/>
      <c r="GX1863" s="1"/>
      <c r="GY1863" s="1"/>
      <c r="GZ1863" s="1"/>
      <c r="HA1863" s="1"/>
      <c r="HB1863" s="1"/>
      <c r="HC1863" s="1"/>
      <c r="HD1863" s="1"/>
      <c r="HE1863" s="1"/>
      <c r="HF1863" s="1"/>
      <c r="HG1863" s="1"/>
      <c r="HH1863" s="1"/>
    </row>
    <row r="1864" spans="1:216" x14ac:dyDescent="0.3">
      <c r="A1864" s="3"/>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c r="EF1864" s="1"/>
      <c r="EG1864" s="1"/>
      <c r="EH1864" s="1"/>
      <c r="EI1864" s="1"/>
      <c r="EJ1864" s="1"/>
      <c r="EK1864" s="1"/>
      <c r="EL1864" s="1"/>
      <c r="EM1864" s="1"/>
      <c r="EN1864" s="1"/>
      <c r="EO1864" s="1"/>
      <c r="EP1864" s="1"/>
      <c r="EQ1864" s="1"/>
      <c r="ER1864" s="1"/>
      <c r="ES1864" s="1"/>
      <c r="ET1864" s="1"/>
      <c r="EU1864" s="1"/>
      <c r="EV1864" s="1"/>
      <c r="EW1864" s="1"/>
      <c r="EX1864" s="1"/>
      <c r="EY1864" s="1"/>
      <c r="EZ1864" s="1"/>
      <c r="FA1864" s="1"/>
      <c r="FB1864" s="1"/>
      <c r="FC1864" s="1"/>
      <c r="FD1864" s="1"/>
      <c r="FE1864" s="1"/>
      <c r="FF1864" s="1"/>
      <c r="FG1864" s="1"/>
      <c r="FH1864" s="1"/>
      <c r="FI1864" s="1"/>
      <c r="FJ1864" s="1"/>
      <c r="FK1864" s="1"/>
      <c r="FL1864" s="1"/>
      <c r="FM1864" s="1"/>
      <c r="FN1864" s="1"/>
      <c r="FO1864" s="1"/>
      <c r="FP1864" s="1"/>
      <c r="FQ1864" s="1"/>
      <c r="FR1864" s="1"/>
      <c r="FS1864" s="1"/>
      <c r="FT1864" s="1"/>
      <c r="FU1864" s="1"/>
      <c r="FV1864" s="1"/>
      <c r="FW1864" s="1"/>
      <c r="FX1864" s="1"/>
      <c r="FY1864" s="1"/>
      <c r="FZ1864" s="1"/>
      <c r="GA1864" s="1"/>
      <c r="GB1864" s="1"/>
      <c r="GC1864" s="1"/>
      <c r="GD1864" s="1"/>
      <c r="GE1864" s="1"/>
      <c r="GF1864" s="1"/>
      <c r="GG1864" s="1"/>
      <c r="GH1864" s="1"/>
      <c r="GI1864" s="1"/>
      <c r="GJ1864" s="1"/>
      <c r="GK1864" s="1"/>
      <c r="GL1864" s="1"/>
      <c r="GM1864" s="1"/>
      <c r="GN1864" s="1"/>
      <c r="GO1864" s="1"/>
      <c r="GP1864" s="1"/>
      <c r="GQ1864" s="1"/>
      <c r="GR1864" s="1"/>
      <c r="GS1864" s="1"/>
      <c r="GT1864" s="1"/>
      <c r="GU1864" s="1"/>
      <c r="GV1864" s="1"/>
      <c r="GW1864" s="1"/>
      <c r="GX1864" s="1"/>
      <c r="GY1864" s="1"/>
      <c r="GZ1864" s="1"/>
      <c r="HA1864" s="1"/>
      <c r="HB1864" s="1"/>
      <c r="HC1864" s="1"/>
      <c r="HD1864" s="1"/>
      <c r="HE1864" s="1"/>
      <c r="HF1864" s="1"/>
      <c r="HG1864" s="1"/>
      <c r="HH1864" s="1"/>
    </row>
    <row r="1865" spans="1:216" x14ac:dyDescent="0.3">
      <c r="A1865" s="3"/>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c r="EF1865" s="1"/>
      <c r="EG1865" s="1"/>
      <c r="EH1865" s="1"/>
      <c r="EI1865" s="1"/>
      <c r="EJ1865" s="1"/>
      <c r="EK1865" s="1"/>
      <c r="EL1865" s="1"/>
      <c r="EM1865" s="1"/>
      <c r="EN1865" s="1"/>
      <c r="EO1865" s="1"/>
      <c r="EP1865" s="1"/>
      <c r="EQ1865" s="1"/>
      <c r="ER1865" s="1"/>
      <c r="ES1865" s="1"/>
      <c r="ET1865" s="1"/>
      <c r="EU1865" s="1"/>
      <c r="EV1865" s="1"/>
      <c r="EW1865" s="1"/>
      <c r="EX1865" s="1"/>
      <c r="EY1865" s="1"/>
      <c r="EZ1865" s="1"/>
      <c r="FA1865" s="1"/>
      <c r="FB1865" s="1"/>
      <c r="FC1865" s="1"/>
      <c r="FD1865" s="1"/>
      <c r="FE1865" s="1"/>
      <c r="FF1865" s="1"/>
      <c r="FG1865" s="1"/>
      <c r="FH1865" s="1"/>
      <c r="FI1865" s="1"/>
      <c r="FJ1865" s="1"/>
      <c r="FK1865" s="1"/>
      <c r="FL1865" s="1"/>
      <c r="FM1865" s="1"/>
      <c r="FN1865" s="1"/>
      <c r="FO1865" s="1"/>
      <c r="FP1865" s="1"/>
      <c r="FQ1865" s="1"/>
      <c r="FR1865" s="1"/>
      <c r="FS1865" s="1"/>
      <c r="FT1865" s="1"/>
      <c r="FU1865" s="1"/>
      <c r="FV1865" s="1"/>
      <c r="FW1865" s="1"/>
      <c r="FX1865" s="1"/>
      <c r="FY1865" s="1"/>
      <c r="FZ1865" s="1"/>
      <c r="GA1865" s="1"/>
      <c r="GB1865" s="1"/>
      <c r="GC1865" s="1"/>
      <c r="GD1865" s="1"/>
      <c r="GE1865" s="1"/>
      <c r="GF1865" s="1"/>
      <c r="GG1865" s="1"/>
      <c r="GH1865" s="1"/>
      <c r="GI1865" s="1"/>
      <c r="GJ1865" s="1"/>
      <c r="GK1865" s="1"/>
      <c r="GL1865" s="1"/>
      <c r="GM1865" s="1"/>
      <c r="GN1865" s="1"/>
      <c r="GO1865" s="1"/>
      <c r="GP1865" s="1"/>
      <c r="GQ1865" s="1"/>
      <c r="GR1865" s="1"/>
      <c r="GS1865" s="1"/>
      <c r="GT1865" s="1"/>
      <c r="GU1865" s="1"/>
      <c r="GV1865" s="1"/>
      <c r="GW1865" s="1"/>
      <c r="GX1865" s="1"/>
      <c r="GY1865" s="1"/>
      <c r="GZ1865" s="1"/>
      <c r="HA1865" s="1"/>
      <c r="HB1865" s="1"/>
      <c r="HC1865" s="1"/>
      <c r="HD1865" s="1"/>
      <c r="HE1865" s="1"/>
      <c r="HF1865" s="1"/>
      <c r="HG1865" s="1"/>
      <c r="HH1865" s="1"/>
    </row>
    <row r="1866" spans="1:216" x14ac:dyDescent="0.3">
      <c r="A1866" s="3"/>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c r="EF1866" s="1"/>
      <c r="EG1866" s="1"/>
      <c r="EH1866" s="1"/>
      <c r="EI1866" s="1"/>
      <c r="EJ1866" s="1"/>
      <c r="EK1866" s="1"/>
      <c r="EL1866" s="1"/>
      <c r="EM1866" s="1"/>
      <c r="EN1866" s="1"/>
      <c r="EO1866" s="1"/>
      <c r="EP1866" s="1"/>
      <c r="EQ1866" s="1"/>
      <c r="ER1866" s="1"/>
      <c r="ES1866" s="1"/>
      <c r="ET1866" s="1"/>
      <c r="EU1866" s="1"/>
      <c r="EV1866" s="1"/>
      <c r="EW1866" s="1"/>
      <c r="EX1866" s="1"/>
      <c r="EY1866" s="1"/>
      <c r="EZ1866" s="1"/>
      <c r="FA1866" s="1"/>
      <c r="FB1866" s="1"/>
      <c r="FC1866" s="1"/>
      <c r="FD1866" s="1"/>
      <c r="FE1866" s="1"/>
      <c r="FF1866" s="1"/>
      <c r="FG1866" s="1"/>
      <c r="FH1866" s="1"/>
      <c r="FI1866" s="1"/>
      <c r="FJ1866" s="1"/>
      <c r="FK1866" s="1"/>
      <c r="FL1866" s="1"/>
      <c r="FM1866" s="1"/>
      <c r="FN1866" s="1"/>
      <c r="FO1866" s="1"/>
      <c r="FP1866" s="1"/>
      <c r="FQ1866" s="1"/>
      <c r="FR1866" s="1"/>
      <c r="FS1866" s="1"/>
      <c r="FT1866" s="1"/>
      <c r="FU1866" s="1"/>
      <c r="FV1866" s="1"/>
      <c r="FW1866" s="1"/>
      <c r="FX1866" s="1"/>
      <c r="FY1866" s="1"/>
      <c r="FZ1866" s="1"/>
      <c r="GA1866" s="1"/>
      <c r="GB1866" s="1"/>
      <c r="GC1866" s="1"/>
      <c r="GD1866" s="1"/>
      <c r="GE1866" s="1"/>
      <c r="GF1866" s="1"/>
      <c r="GG1866" s="1"/>
      <c r="GH1866" s="1"/>
      <c r="GI1866" s="1"/>
      <c r="GJ1866" s="1"/>
      <c r="GK1866" s="1"/>
      <c r="GL1866" s="1"/>
      <c r="GM1866" s="1"/>
      <c r="GN1866" s="1"/>
      <c r="GO1866" s="1"/>
      <c r="GP1866" s="1"/>
      <c r="GQ1866" s="1"/>
      <c r="GR1866" s="1"/>
      <c r="GS1866" s="1"/>
      <c r="GT1866" s="1"/>
      <c r="GU1866" s="1"/>
      <c r="GV1866" s="1"/>
      <c r="GW1866" s="1"/>
      <c r="GX1866" s="1"/>
      <c r="GY1866" s="1"/>
      <c r="GZ1866" s="1"/>
      <c r="HA1866" s="1"/>
      <c r="HB1866" s="1"/>
      <c r="HC1866" s="1"/>
      <c r="HD1866" s="1"/>
      <c r="HE1866" s="1"/>
      <c r="HF1866" s="1"/>
      <c r="HG1866" s="1"/>
      <c r="HH1866" s="1"/>
    </row>
    <row r="1867" spans="1:216" x14ac:dyDescent="0.3">
      <c r="A1867" s="3"/>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c r="EF1867" s="1"/>
      <c r="EG1867" s="1"/>
      <c r="EH1867" s="1"/>
      <c r="EI1867" s="1"/>
      <c r="EJ1867" s="1"/>
      <c r="EK1867" s="1"/>
      <c r="EL1867" s="1"/>
      <c r="EM1867" s="1"/>
      <c r="EN1867" s="1"/>
      <c r="EO1867" s="1"/>
      <c r="EP1867" s="1"/>
      <c r="EQ1867" s="1"/>
      <c r="ER1867" s="1"/>
      <c r="ES1867" s="1"/>
      <c r="ET1867" s="1"/>
      <c r="EU1867" s="1"/>
      <c r="EV1867" s="1"/>
      <c r="EW1867" s="1"/>
      <c r="EX1867" s="1"/>
      <c r="EY1867" s="1"/>
      <c r="EZ1867" s="1"/>
      <c r="FA1867" s="1"/>
      <c r="FB1867" s="1"/>
      <c r="FC1867" s="1"/>
      <c r="FD1867" s="1"/>
      <c r="FE1867" s="1"/>
      <c r="FF1867" s="1"/>
      <c r="FG1867" s="1"/>
      <c r="FH1867" s="1"/>
      <c r="FI1867" s="1"/>
      <c r="FJ1867" s="1"/>
      <c r="FK1867" s="1"/>
      <c r="FL1867" s="1"/>
      <c r="FM1867" s="1"/>
      <c r="FN1867" s="1"/>
      <c r="FO1867" s="1"/>
      <c r="FP1867" s="1"/>
      <c r="FQ1867" s="1"/>
      <c r="FR1867" s="1"/>
      <c r="FS1867" s="1"/>
      <c r="FT1867" s="1"/>
      <c r="FU1867" s="1"/>
      <c r="FV1867" s="1"/>
      <c r="FW1867" s="1"/>
      <c r="FX1867" s="1"/>
      <c r="FY1867" s="1"/>
      <c r="FZ1867" s="1"/>
      <c r="GA1867" s="1"/>
      <c r="GB1867" s="1"/>
      <c r="GC1867" s="1"/>
      <c r="GD1867" s="1"/>
      <c r="GE1867" s="1"/>
      <c r="GF1867" s="1"/>
      <c r="GG1867" s="1"/>
      <c r="GH1867" s="1"/>
      <c r="GI1867" s="1"/>
      <c r="GJ1867" s="1"/>
      <c r="GK1867" s="1"/>
      <c r="GL1867" s="1"/>
      <c r="GM1867" s="1"/>
      <c r="GN1867" s="1"/>
      <c r="GO1867" s="1"/>
      <c r="GP1867" s="1"/>
      <c r="GQ1867" s="1"/>
      <c r="GR1867" s="1"/>
      <c r="GS1867" s="1"/>
      <c r="GT1867" s="1"/>
      <c r="GU1867" s="1"/>
      <c r="GV1867" s="1"/>
      <c r="GW1867" s="1"/>
      <c r="GX1867" s="1"/>
      <c r="GY1867" s="1"/>
      <c r="GZ1867" s="1"/>
      <c r="HA1867" s="1"/>
      <c r="HB1867" s="1"/>
      <c r="HC1867" s="1"/>
      <c r="HD1867" s="1"/>
      <c r="HE1867" s="1"/>
      <c r="HF1867" s="1"/>
      <c r="HG1867" s="1"/>
      <c r="HH1867" s="1"/>
    </row>
    <row r="1868" spans="1:216" x14ac:dyDescent="0.3">
      <c r="A1868" s="3"/>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c r="EF1868" s="1"/>
      <c r="EG1868" s="1"/>
      <c r="EH1868" s="1"/>
      <c r="EI1868" s="1"/>
      <c r="EJ1868" s="1"/>
      <c r="EK1868" s="1"/>
      <c r="EL1868" s="1"/>
      <c r="EM1868" s="1"/>
      <c r="EN1868" s="1"/>
      <c r="EO1868" s="1"/>
      <c r="EP1868" s="1"/>
      <c r="EQ1868" s="1"/>
      <c r="ER1868" s="1"/>
      <c r="ES1868" s="1"/>
      <c r="ET1868" s="1"/>
      <c r="EU1868" s="1"/>
      <c r="EV1868" s="1"/>
      <c r="EW1868" s="1"/>
      <c r="EX1868" s="1"/>
      <c r="EY1868" s="1"/>
      <c r="EZ1868" s="1"/>
      <c r="FA1868" s="1"/>
      <c r="FB1868" s="1"/>
      <c r="FC1868" s="1"/>
      <c r="FD1868" s="1"/>
      <c r="FE1868" s="1"/>
      <c r="FF1868" s="1"/>
      <c r="FG1868" s="1"/>
      <c r="FH1868" s="1"/>
      <c r="FI1868" s="1"/>
      <c r="FJ1868" s="1"/>
      <c r="FK1868" s="1"/>
      <c r="FL1868" s="1"/>
      <c r="FM1868" s="1"/>
      <c r="FN1868" s="1"/>
      <c r="FO1868" s="1"/>
      <c r="FP1868" s="1"/>
      <c r="FQ1868" s="1"/>
      <c r="FR1868" s="1"/>
      <c r="FS1868" s="1"/>
      <c r="FT1868" s="1"/>
      <c r="FU1868" s="1"/>
      <c r="FV1868" s="1"/>
      <c r="FW1868" s="1"/>
      <c r="FX1868" s="1"/>
      <c r="FY1868" s="1"/>
      <c r="FZ1868" s="1"/>
      <c r="GA1868" s="1"/>
      <c r="GB1868" s="1"/>
      <c r="GC1868" s="1"/>
      <c r="GD1868" s="1"/>
      <c r="GE1868" s="1"/>
      <c r="GF1868" s="1"/>
      <c r="GG1868" s="1"/>
      <c r="GH1868" s="1"/>
      <c r="GI1868" s="1"/>
      <c r="GJ1868" s="1"/>
      <c r="GK1868" s="1"/>
      <c r="GL1868" s="1"/>
      <c r="GM1868" s="1"/>
      <c r="GN1868" s="1"/>
      <c r="GO1868" s="1"/>
      <c r="GP1868" s="1"/>
      <c r="GQ1868" s="1"/>
      <c r="GR1868" s="1"/>
      <c r="GS1868" s="1"/>
      <c r="GT1868" s="1"/>
      <c r="GU1868" s="1"/>
      <c r="GV1868" s="1"/>
      <c r="GW1868" s="1"/>
      <c r="GX1868" s="1"/>
      <c r="GY1868" s="1"/>
      <c r="GZ1868" s="1"/>
      <c r="HA1868" s="1"/>
      <c r="HB1868" s="1"/>
      <c r="HC1868" s="1"/>
      <c r="HD1868" s="1"/>
      <c r="HE1868" s="1"/>
      <c r="HF1868" s="1"/>
      <c r="HG1868" s="1"/>
      <c r="HH1868" s="1"/>
    </row>
    <row r="1869" spans="1:216" x14ac:dyDescent="0.3">
      <c r="A1869" s="3"/>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c r="EF1869" s="1"/>
      <c r="EG1869" s="1"/>
      <c r="EH1869" s="1"/>
      <c r="EI1869" s="1"/>
      <c r="EJ1869" s="1"/>
      <c r="EK1869" s="1"/>
      <c r="EL1869" s="1"/>
      <c r="EM1869" s="1"/>
      <c r="EN1869" s="1"/>
      <c r="EO1869" s="1"/>
      <c r="EP1869" s="1"/>
      <c r="EQ1869" s="1"/>
      <c r="ER1869" s="1"/>
      <c r="ES1869" s="1"/>
      <c r="ET1869" s="1"/>
      <c r="EU1869" s="1"/>
      <c r="EV1869" s="1"/>
      <c r="EW1869" s="1"/>
      <c r="EX1869" s="1"/>
      <c r="EY1869" s="1"/>
      <c r="EZ1869" s="1"/>
      <c r="FA1869" s="1"/>
      <c r="FB1869" s="1"/>
      <c r="FC1869" s="1"/>
      <c r="FD1869" s="1"/>
      <c r="FE1869" s="1"/>
      <c r="FF1869" s="1"/>
      <c r="FG1869" s="1"/>
      <c r="FH1869" s="1"/>
      <c r="FI1869" s="1"/>
      <c r="FJ1869" s="1"/>
      <c r="FK1869" s="1"/>
      <c r="FL1869" s="1"/>
      <c r="FM1869" s="1"/>
      <c r="FN1869" s="1"/>
      <c r="FO1869" s="1"/>
      <c r="FP1869" s="1"/>
      <c r="FQ1869" s="1"/>
      <c r="FR1869" s="1"/>
      <c r="FS1869" s="1"/>
      <c r="FT1869" s="1"/>
      <c r="FU1869" s="1"/>
      <c r="FV1869" s="1"/>
      <c r="FW1869" s="1"/>
      <c r="FX1869" s="1"/>
      <c r="FY1869" s="1"/>
      <c r="FZ1869" s="1"/>
      <c r="GA1869" s="1"/>
      <c r="GB1869" s="1"/>
      <c r="GC1869" s="1"/>
      <c r="GD1869" s="1"/>
      <c r="GE1869" s="1"/>
      <c r="GF1869" s="1"/>
      <c r="GG1869" s="1"/>
      <c r="GH1869" s="1"/>
      <c r="GI1869" s="1"/>
      <c r="GJ1869" s="1"/>
      <c r="GK1869" s="1"/>
      <c r="GL1869" s="1"/>
      <c r="GM1869" s="1"/>
      <c r="GN1869" s="1"/>
      <c r="GO1869" s="1"/>
      <c r="GP1869" s="1"/>
      <c r="GQ1869" s="1"/>
      <c r="GR1869" s="1"/>
      <c r="GS1869" s="1"/>
      <c r="GT1869" s="1"/>
      <c r="GU1869" s="1"/>
      <c r="GV1869" s="1"/>
      <c r="GW1869" s="1"/>
      <c r="GX1869" s="1"/>
      <c r="GY1869" s="1"/>
      <c r="GZ1869" s="1"/>
      <c r="HA1869" s="1"/>
      <c r="HB1869" s="1"/>
      <c r="HC1869" s="1"/>
      <c r="HD1869" s="1"/>
      <c r="HE1869" s="1"/>
      <c r="HF1869" s="1"/>
      <c r="HG1869" s="1"/>
      <c r="HH1869" s="1"/>
    </row>
    <row r="1870" spans="1:216" x14ac:dyDescent="0.3">
      <c r="A1870" s="3"/>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c r="EF1870" s="1"/>
      <c r="EG1870" s="1"/>
      <c r="EH1870" s="1"/>
      <c r="EI1870" s="1"/>
      <c r="EJ1870" s="1"/>
      <c r="EK1870" s="1"/>
      <c r="EL1870" s="1"/>
      <c r="EM1870" s="1"/>
      <c r="EN1870" s="1"/>
      <c r="EO1870" s="1"/>
      <c r="EP1870" s="1"/>
      <c r="EQ1870" s="1"/>
      <c r="ER1870" s="1"/>
      <c r="ES1870" s="1"/>
      <c r="ET1870" s="1"/>
      <c r="EU1870" s="1"/>
      <c r="EV1870" s="1"/>
      <c r="EW1870" s="1"/>
      <c r="EX1870" s="1"/>
      <c r="EY1870" s="1"/>
      <c r="EZ1870" s="1"/>
      <c r="FA1870" s="1"/>
      <c r="FB1870" s="1"/>
      <c r="FC1870" s="1"/>
      <c r="FD1870" s="1"/>
      <c r="FE1870" s="1"/>
      <c r="FF1870" s="1"/>
      <c r="FG1870" s="1"/>
      <c r="FH1870" s="1"/>
      <c r="FI1870" s="1"/>
      <c r="FJ1870" s="1"/>
      <c r="FK1870" s="1"/>
      <c r="FL1870" s="1"/>
      <c r="FM1870" s="1"/>
      <c r="FN1870" s="1"/>
      <c r="FO1870" s="1"/>
      <c r="FP1870" s="1"/>
      <c r="FQ1870" s="1"/>
      <c r="FR1870" s="1"/>
      <c r="FS1870" s="1"/>
      <c r="FT1870" s="1"/>
      <c r="FU1870" s="1"/>
      <c r="FV1870" s="1"/>
      <c r="FW1870" s="1"/>
      <c r="FX1870" s="1"/>
      <c r="FY1870" s="1"/>
      <c r="FZ1870" s="1"/>
      <c r="GA1870" s="1"/>
      <c r="GB1870" s="1"/>
      <c r="GC1870" s="1"/>
      <c r="GD1870" s="1"/>
      <c r="GE1870" s="1"/>
      <c r="GF1870" s="1"/>
      <c r="GG1870" s="1"/>
      <c r="GH1870" s="1"/>
      <c r="GI1870" s="1"/>
      <c r="GJ1870" s="1"/>
      <c r="GK1870" s="1"/>
      <c r="GL1870" s="1"/>
      <c r="GM1870" s="1"/>
      <c r="GN1870" s="1"/>
      <c r="GO1870" s="1"/>
      <c r="GP1870" s="1"/>
      <c r="GQ1870" s="1"/>
      <c r="GR1870" s="1"/>
      <c r="GS1870" s="1"/>
      <c r="GT1870" s="1"/>
      <c r="GU1870" s="1"/>
      <c r="GV1870" s="1"/>
      <c r="GW1870" s="1"/>
      <c r="GX1870" s="1"/>
      <c r="GY1870" s="1"/>
      <c r="GZ1870" s="1"/>
      <c r="HA1870" s="1"/>
      <c r="HB1870" s="1"/>
      <c r="HC1870" s="1"/>
      <c r="HD1870" s="1"/>
      <c r="HE1870" s="1"/>
      <c r="HF1870" s="1"/>
      <c r="HG1870" s="1"/>
      <c r="HH1870" s="1"/>
    </row>
    <row r="1871" spans="1:216" x14ac:dyDescent="0.3">
      <c r="A1871" s="3"/>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c r="EF1871" s="1"/>
      <c r="EG1871" s="1"/>
      <c r="EH1871" s="1"/>
      <c r="EI1871" s="1"/>
      <c r="EJ1871" s="1"/>
      <c r="EK1871" s="1"/>
      <c r="EL1871" s="1"/>
      <c r="EM1871" s="1"/>
      <c r="EN1871" s="1"/>
      <c r="EO1871" s="1"/>
      <c r="EP1871" s="1"/>
      <c r="EQ1871" s="1"/>
      <c r="ER1871" s="1"/>
      <c r="ES1871" s="1"/>
      <c r="ET1871" s="1"/>
      <c r="EU1871" s="1"/>
      <c r="EV1871" s="1"/>
      <c r="EW1871" s="1"/>
      <c r="EX1871" s="1"/>
      <c r="EY1871" s="1"/>
      <c r="EZ1871" s="1"/>
      <c r="FA1871" s="1"/>
      <c r="FB1871" s="1"/>
      <c r="FC1871" s="1"/>
      <c r="FD1871" s="1"/>
      <c r="FE1871" s="1"/>
      <c r="FF1871" s="1"/>
      <c r="FG1871" s="1"/>
      <c r="FH1871" s="1"/>
      <c r="FI1871" s="1"/>
      <c r="FJ1871" s="1"/>
      <c r="FK1871" s="1"/>
      <c r="FL1871" s="1"/>
      <c r="FM1871" s="1"/>
      <c r="FN1871" s="1"/>
      <c r="FO1871" s="1"/>
      <c r="FP1871" s="1"/>
      <c r="FQ1871" s="1"/>
      <c r="FR1871" s="1"/>
      <c r="FS1871" s="1"/>
      <c r="FT1871" s="1"/>
      <c r="FU1871" s="1"/>
      <c r="FV1871" s="1"/>
      <c r="FW1871" s="1"/>
      <c r="FX1871" s="1"/>
      <c r="FY1871" s="1"/>
      <c r="FZ1871" s="1"/>
      <c r="GA1871" s="1"/>
      <c r="GB1871" s="1"/>
      <c r="GC1871" s="1"/>
      <c r="GD1871" s="1"/>
      <c r="GE1871" s="1"/>
      <c r="GF1871" s="1"/>
      <c r="GG1871" s="1"/>
      <c r="GH1871" s="1"/>
      <c r="GI1871" s="1"/>
      <c r="GJ1871" s="1"/>
      <c r="GK1871" s="1"/>
      <c r="GL1871" s="1"/>
      <c r="GM1871" s="1"/>
      <c r="GN1871" s="1"/>
      <c r="GO1871" s="1"/>
      <c r="GP1871" s="1"/>
      <c r="GQ1871" s="1"/>
      <c r="GR1871" s="1"/>
      <c r="GS1871" s="1"/>
      <c r="GT1871" s="1"/>
      <c r="GU1871" s="1"/>
      <c r="GV1871" s="1"/>
      <c r="GW1871" s="1"/>
      <c r="GX1871" s="1"/>
      <c r="GY1871" s="1"/>
      <c r="GZ1871" s="1"/>
      <c r="HA1871" s="1"/>
      <c r="HB1871" s="1"/>
      <c r="HC1871" s="1"/>
      <c r="HD1871" s="1"/>
      <c r="HE1871" s="1"/>
      <c r="HF1871" s="1"/>
      <c r="HG1871" s="1"/>
      <c r="HH1871" s="1"/>
    </row>
    <row r="1872" spans="1:216" x14ac:dyDescent="0.3">
      <c r="A1872" s="3"/>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c r="EF1872" s="1"/>
      <c r="EG1872" s="1"/>
      <c r="EH1872" s="1"/>
      <c r="EI1872" s="1"/>
      <c r="EJ1872" s="1"/>
      <c r="EK1872" s="1"/>
      <c r="EL1872" s="1"/>
      <c r="EM1872" s="1"/>
      <c r="EN1872" s="1"/>
      <c r="EO1872" s="1"/>
      <c r="EP1872" s="1"/>
      <c r="EQ1872" s="1"/>
      <c r="ER1872" s="1"/>
      <c r="ES1872" s="1"/>
      <c r="ET1872" s="1"/>
      <c r="EU1872" s="1"/>
      <c r="EV1872" s="1"/>
      <c r="EW1872" s="1"/>
      <c r="EX1872" s="1"/>
      <c r="EY1872" s="1"/>
      <c r="EZ1872" s="1"/>
      <c r="FA1872" s="1"/>
      <c r="FB1872" s="1"/>
      <c r="FC1872" s="1"/>
      <c r="FD1872" s="1"/>
      <c r="FE1872" s="1"/>
      <c r="FF1872" s="1"/>
      <c r="FG1872" s="1"/>
      <c r="FH1872" s="1"/>
      <c r="FI1872" s="1"/>
      <c r="FJ1872" s="1"/>
      <c r="FK1872" s="1"/>
      <c r="FL1872" s="1"/>
      <c r="FM1872" s="1"/>
      <c r="FN1872" s="1"/>
      <c r="FO1872" s="1"/>
      <c r="FP1872" s="1"/>
      <c r="FQ1872" s="1"/>
      <c r="FR1872" s="1"/>
      <c r="FS1872" s="1"/>
      <c r="FT1872" s="1"/>
      <c r="FU1872" s="1"/>
      <c r="FV1872" s="1"/>
      <c r="FW1872" s="1"/>
      <c r="FX1872" s="1"/>
      <c r="FY1872" s="1"/>
      <c r="FZ1872" s="1"/>
      <c r="GA1872" s="1"/>
      <c r="GB1872" s="1"/>
      <c r="GC1872" s="1"/>
      <c r="GD1872" s="1"/>
      <c r="GE1872" s="1"/>
      <c r="GF1872" s="1"/>
      <c r="GG1872" s="1"/>
      <c r="GH1872" s="1"/>
      <c r="GI1872" s="1"/>
      <c r="GJ1872" s="1"/>
      <c r="GK1872" s="1"/>
      <c r="GL1872" s="1"/>
      <c r="GM1872" s="1"/>
      <c r="GN1872" s="1"/>
      <c r="GO1872" s="1"/>
      <c r="GP1872" s="1"/>
      <c r="GQ1872" s="1"/>
      <c r="GR1872" s="1"/>
      <c r="GS1872" s="1"/>
      <c r="GT1872" s="1"/>
      <c r="GU1872" s="1"/>
      <c r="GV1872" s="1"/>
      <c r="GW1872" s="1"/>
      <c r="GX1872" s="1"/>
      <c r="GY1872" s="1"/>
      <c r="GZ1872" s="1"/>
      <c r="HA1872" s="1"/>
      <c r="HB1872" s="1"/>
      <c r="HC1872" s="1"/>
      <c r="HD1872" s="1"/>
      <c r="HE1872" s="1"/>
      <c r="HF1872" s="1"/>
      <c r="HG1872" s="1"/>
      <c r="HH1872" s="1"/>
    </row>
    <row r="1873" spans="1:216" x14ac:dyDescent="0.3">
      <c r="A1873" s="3"/>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c r="FN1873" s="1"/>
      <c r="FO1873" s="1"/>
      <c r="FP1873" s="1"/>
      <c r="FQ1873" s="1"/>
      <c r="FR1873" s="1"/>
      <c r="FS1873" s="1"/>
      <c r="FT1873" s="1"/>
      <c r="FU1873" s="1"/>
      <c r="FV1873" s="1"/>
      <c r="FW1873" s="1"/>
      <c r="FX1873" s="1"/>
      <c r="FY1873" s="1"/>
      <c r="FZ1873" s="1"/>
      <c r="GA1873" s="1"/>
      <c r="GB1873" s="1"/>
      <c r="GC1873" s="1"/>
      <c r="GD1873" s="1"/>
      <c r="GE1873" s="1"/>
      <c r="GF1873" s="1"/>
      <c r="GG1873" s="1"/>
      <c r="GH1873" s="1"/>
      <c r="GI1873" s="1"/>
      <c r="GJ1873" s="1"/>
      <c r="GK1873" s="1"/>
      <c r="GL1873" s="1"/>
      <c r="GM1873" s="1"/>
      <c r="GN1873" s="1"/>
      <c r="GO1873" s="1"/>
      <c r="GP1873" s="1"/>
      <c r="GQ1873" s="1"/>
      <c r="GR1873" s="1"/>
      <c r="GS1873" s="1"/>
      <c r="GT1873" s="1"/>
      <c r="GU1873" s="1"/>
      <c r="GV1873" s="1"/>
      <c r="GW1873" s="1"/>
      <c r="GX1873" s="1"/>
      <c r="GY1873" s="1"/>
      <c r="GZ1873" s="1"/>
      <c r="HA1873" s="1"/>
      <c r="HB1873" s="1"/>
      <c r="HC1873" s="1"/>
      <c r="HD1873" s="1"/>
      <c r="HE1873" s="1"/>
      <c r="HF1873" s="1"/>
      <c r="HG1873" s="1"/>
      <c r="HH1873" s="1"/>
    </row>
    <row r="1874" spans="1:216" x14ac:dyDescent="0.3">
      <c r="A1874" s="3"/>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c r="GL1874" s="1"/>
      <c r="GM1874" s="1"/>
      <c r="GN1874" s="1"/>
      <c r="GO1874" s="1"/>
      <c r="GP1874" s="1"/>
      <c r="GQ1874" s="1"/>
      <c r="GR1874" s="1"/>
      <c r="GS1874" s="1"/>
      <c r="GT1874" s="1"/>
      <c r="GU1874" s="1"/>
      <c r="GV1874" s="1"/>
      <c r="GW1874" s="1"/>
      <c r="GX1874" s="1"/>
      <c r="GY1874" s="1"/>
      <c r="GZ1874" s="1"/>
      <c r="HA1874" s="1"/>
      <c r="HB1874" s="1"/>
      <c r="HC1874" s="1"/>
      <c r="HD1874" s="1"/>
      <c r="HE1874" s="1"/>
      <c r="HF1874" s="1"/>
      <c r="HG1874" s="1"/>
      <c r="HH1874" s="1"/>
    </row>
    <row r="1875" spans="1:216" x14ac:dyDescent="0.3">
      <c r="A1875" s="3"/>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c r="FN1875" s="1"/>
      <c r="FO1875" s="1"/>
      <c r="FP1875" s="1"/>
      <c r="FQ1875" s="1"/>
      <c r="FR1875" s="1"/>
      <c r="FS1875" s="1"/>
      <c r="FT1875" s="1"/>
      <c r="FU1875" s="1"/>
      <c r="FV1875" s="1"/>
      <c r="FW1875" s="1"/>
      <c r="FX1875" s="1"/>
      <c r="FY1875" s="1"/>
      <c r="FZ1875" s="1"/>
      <c r="GA1875" s="1"/>
      <c r="GB1875" s="1"/>
      <c r="GC1875" s="1"/>
      <c r="GD1875" s="1"/>
      <c r="GE1875" s="1"/>
      <c r="GF1875" s="1"/>
      <c r="GG1875" s="1"/>
      <c r="GH1875" s="1"/>
      <c r="GI1875" s="1"/>
      <c r="GJ1875" s="1"/>
      <c r="GK1875" s="1"/>
      <c r="GL1875" s="1"/>
      <c r="GM1875" s="1"/>
      <c r="GN1875" s="1"/>
      <c r="GO1875" s="1"/>
      <c r="GP1875" s="1"/>
      <c r="GQ1875" s="1"/>
      <c r="GR1875" s="1"/>
      <c r="GS1875" s="1"/>
      <c r="GT1875" s="1"/>
      <c r="GU1875" s="1"/>
      <c r="GV1875" s="1"/>
      <c r="GW1875" s="1"/>
      <c r="GX1875" s="1"/>
      <c r="GY1875" s="1"/>
      <c r="GZ1875" s="1"/>
      <c r="HA1875" s="1"/>
      <c r="HB1875" s="1"/>
      <c r="HC1875" s="1"/>
      <c r="HD1875" s="1"/>
      <c r="HE1875" s="1"/>
      <c r="HF1875" s="1"/>
      <c r="HG1875" s="1"/>
      <c r="HH1875" s="1"/>
    </row>
    <row r="1876" spans="1:216" x14ac:dyDescent="0.3">
      <c r="A1876" s="3"/>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c r="FN1876" s="1"/>
      <c r="FO1876" s="1"/>
      <c r="FP1876" s="1"/>
      <c r="FQ1876" s="1"/>
      <c r="FR1876" s="1"/>
      <c r="FS1876" s="1"/>
      <c r="FT1876" s="1"/>
      <c r="FU1876" s="1"/>
      <c r="FV1876" s="1"/>
      <c r="FW1876" s="1"/>
      <c r="FX1876" s="1"/>
      <c r="FY1876" s="1"/>
      <c r="FZ1876" s="1"/>
      <c r="GA1876" s="1"/>
      <c r="GB1876" s="1"/>
      <c r="GC1876" s="1"/>
      <c r="GD1876" s="1"/>
      <c r="GE1876" s="1"/>
      <c r="GF1876" s="1"/>
      <c r="GG1876" s="1"/>
      <c r="GH1876" s="1"/>
      <c r="GI1876" s="1"/>
      <c r="GJ1876" s="1"/>
      <c r="GK1876" s="1"/>
      <c r="GL1876" s="1"/>
      <c r="GM1876" s="1"/>
      <c r="GN1876" s="1"/>
      <c r="GO1876" s="1"/>
      <c r="GP1876" s="1"/>
      <c r="GQ1876" s="1"/>
      <c r="GR1876" s="1"/>
      <c r="GS1876" s="1"/>
      <c r="GT1876" s="1"/>
      <c r="GU1876" s="1"/>
      <c r="GV1876" s="1"/>
      <c r="GW1876" s="1"/>
      <c r="GX1876" s="1"/>
      <c r="GY1876" s="1"/>
      <c r="GZ1876" s="1"/>
      <c r="HA1876" s="1"/>
      <c r="HB1876" s="1"/>
      <c r="HC1876" s="1"/>
      <c r="HD1876" s="1"/>
      <c r="HE1876" s="1"/>
      <c r="HF1876" s="1"/>
      <c r="HG1876" s="1"/>
      <c r="HH1876" s="1"/>
    </row>
    <row r="1877" spans="1:216" x14ac:dyDescent="0.3">
      <c r="A1877" s="3"/>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c r="GL1877" s="1"/>
      <c r="GM1877" s="1"/>
      <c r="GN1877" s="1"/>
      <c r="GO1877" s="1"/>
      <c r="GP1877" s="1"/>
      <c r="GQ1877" s="1"/>
      <c r="GR1877" s="1"/>
      <c r="GS1877" s="1"/>
      <c r="GT1877" s="1"/>
      <c r="GU1877" s="1"/>
      <c r="GV1877" s="1"/>
      <c r="GW1877" s="1"/>
      <c r="GX1877" s="1"/>
      <c r="GY1877" s="1"/>
      <c r="GZ1877" s="1"/>
      <c r="HA1877" s="1"/>
      <c r="HB1877" s="1"/>
      <c r="HC1877" s="1"/>
      <c r="HD1877" s="1"/>
      <c r="HE1877" s="1"/>
      <c r="HF1877" s="1"/>
      <c r="HG1877" s="1"/>
      <c r="HH1877" s="1"/>
    </row>
    <row r="1878" spans="1:216" x14ac:dyDescent="0.3">
      <c r="A1878" s="3"/>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GS1878" s="1"/>
      <c r="GT1878" s="1"/>
      <c r="GU1878" s="1"/>
      <c r="GV1878" s="1"/>
      <c r="GW1878" s="1"/>
      <c r="GX1878" s="1"/>
      <c r="GY1878" s="1"/>
      <c r="GZ1878" s="1"/>
      <c r="HA1878" s="1"/>
      <c r="HB1878" s="1"/>
      <c r="HC1878" s="1"/>
      <c r="HD1878" s="1"/>
      <c r="HE1878" s="1"/>
      <c r="HF1878" s="1"/>
      <c r="HG1878" s="1"/>
      <c r="HH1878" s="1"/>
    </row>
    <row r="1879" spans="1:216" x14ac:dyDescent="0.3">
      <c r="A1879" s="3"/>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c r="FN1879" s="1"/>
      <c r="FO1879" s="1"/>
      <c r="FP1879" s="1"/>
      <c r="FQ1879" s="1"/>
      <c r="FR1879" s="1"/>
      <c r="FS1879" s="1"/>
      <c r="FT1879" s="1"/>
      <c r="FU1879" s="1"/>
      <c r="FV1879" s="1"/>
      <c r="FW1879" s="1"/>
      <c r="FX1879" s="1"/>
      <c r="FY1879" s="1"/>
      <c r="FZ1879" s="1"/>
      <c r="GA1879" s="1"/>
      <c r="GB1879" s="1"/>
      <c r="GC1879" s="1"/>
      <c r="GD1879" s="1"/>
      <c r="GE1879" s="1"/>
      <c r="GF1879" s="1"/>
      <c r="GG1879" s="1"/>
      <c r="GH1879" s="1"/>
      <c r="GI1879" s="1"/>
      <c r="GJ1879" s="1"/>
      <c r="GK1879" s="1"/>
      <c r="GL1879" s="1"/>
      <c r="GM1879" s="1"/>
      <c r="GN1879" s="1"/>
      <c r="GO1879" s="1"/>
      <c r="GP1879" s="1"/>
      <c r="GQ1879" s="1"/>
      <c r="GR1879" s="1"/>
      <c r="GS1879" s="1"/>
      <c r="GT1879" s="1"/>
      <c r="GU1879" s="1"/>
      <c r="GV1879" s="1"/>
      <c r="GW1879" s="1"/>
      <c r="GX1879" s="1"/>
      <c r="GY1879" s="1"/>
      <c r="GZ1879" s="1"/>
      <c r="HA1879" s="1"/>
      <c r="HB1879" s="1"/>
      <c r="HC1879" s="1"/>
      <c r="HD1879" s="1"/>
      <c r="HE1879" s="1"/>
      <c r="HF1879" s="1"/>
      <c r="HG1879" s="1"/>
      <c r="HH1879" s="1"/>
    </row>
    <row r="1880" spans="1:216" x14ac:dyDescent="0.3">
      <c r="A1880" s="3"/>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c r="FN1880" s="1"/>
      <c r="FO1880" s="1"/>
      <c r="FP1880" s="1"/>
      <c r="FQ1880" s="1"/>
      <c r="FR1880" s="1"/>
      <c r="FS1880" s="1"/>
      <c r="FT1880" s="1"/>
      <c r="FU1880" s="1"/>
      <c r="FV1880" s="1"/>
      <c r="FW1880" s="1"/>
      <c r="FX1880" s="1"/>
      <c r="FY1880" s="1"/>
      <c r="FZ1880" s="1"/>
      <c r="GA1880" s="1"/>
      <c r="GB1880" s="1"/>
      <c r="GC1880" s="1"/>
      <c r="GD1880" s="1"/>
      <c r="GE1880" s="1"/>
      <c r="GF1880" s="1"/>
      <c r="GG1880" s="1"/>
      <c r="GH1880" s="1"/>
      <c r="GI1880" s="1"/>
      <c r="GJ1880" s="1"/>
      <c r="GK1880" s="1"/>
      <c r="GL1880" s="1"/>
      <c r="GM1880" s="1"/>
      <c r="GN1880" s="1"/>
      <c r="GO1880" s="1"/>
      <c r="GP1880" s="1"/>
      <c r="GQ1880" s="1"/>
      <c r="GR1880" s="1"/>
      <c r="GS1880" s="1"/>
      <c r="GT1880" s="1"/>
      <c r="GU1880" s="1"/>
      <c r="GV1880" s="1"/>
      <c r="GW1880" s="1"/>
      <c r="GX1880" s="1"/>
      <c r="GY1880" s="1"/>
      <c r="GZ1880" s="1"/>
      <c r="HA1880" s="1"/>
      <c r="HB1880" s="1"/>
      <c r="HC1880" s="1"/>
      <c r="HD1880" s="1"/>
      <c r="HE1880" s="1"/>
      <c r="HF1880" s="1"/>
      <c r="HG1880" s="1"/>
      <c r="HH1880" s="1"/>
    </row>
    <row r="1881" spans="1:216" x14ac:dyDescent="0.3">
      <c r="A1881" s="3"/>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c r="FN1881" s="1"/>
      <c r="FO1881" s="1"/>
      <c r="FP1881" s="1"/>
      <c r="FQ1881" s="1"/>
      <c r="FR1881" s="1"/>
      <c r="FS1881" s="1"/>
      <c r="FT1881" s="1"/>
      <c r="FU1881" s="1"/>
      <c r="FV1881" s="1"/>
      <c r="FW1881" s="1"/>
      <c r="FX1881" s="1"/>
      <c r="FY1881" s="1"/>
      <c r="FZ1881" s="1"/>
      <c r="GA1881" s="1"/>
      <c r="GB1881" s="1"/>
      <c r="GC1881" s="1"/>
      <c r="GD1881" s="1"/>
      <c r="GE1881" s="1"/>
      <c r="GF1881" s="1"/>
      <c r="GG1881" s="1"/>
      <c r="GH1881" s="1"/>
      <c r="GI1881" s="1"/>
      <c r="GJ1881" s="1"/>
      <c r="GK1881" s="1"/>
      <c r="GL1881" s="1"/>
      <c r="GM1881" s="1"/>
      <c r="GN1881" s="1"/>
      <c r="GO1881" s="1"/>
      <c r="GP1881" s="1"/>
      <c r="GQ1881" s="1"/>
      <c r="GR1881" s="1"/>
      <c r="GS1881" s="1"/>
      <c r="GT1881" s="1"/>
      <c r="GU1881" s="1"/>
      <c r="GV1881" s="1"/>
      <c r="GW1881" s="1"/>
      <c r="GX1881" s="1"/>
      <c r="GY1881" s="1"/>
      <c r="GZ1881" s="1"/>
      <c r="HA1881" s="1"/>
      <c r="HB1881" s="1"/>
      <c r="HC1881" s="1"/>
      <c r="HD1881" s="1"/>
      <c r="HE1881" s="1"/>
      <c r="HF1881" s="1"/>
      <c r="HG1881" s="1"/>
      <c r="HH1881" s="1"/>
    </row>
    <row r="1882" spans="1:216" x14ac:dyDescent="0.3">
      <c r="A1882" s="3"/>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c r="GL1882" s="1"/>
      <c r="GM1882" s="1"/>
      <c r="GN1882" s="1"/>
      <c r="GO1882" s="1"/>
      <c r="GP1882" s="1"/>
      <c r="GQ1882" s="1"/>
      <c r="GR1882" s="1"/>
      <c r="GS1882" s="1"/>
      <c r="GT1882" s="1"/>
      <c r="GU1882" s="1"/>
      <c r="GV1882" s="1"/>
      <c r="GW1882" s="1"/>
      <c r="GX1882" s="1"/>
      <c r="GY1882" s="1"/>
      <c r="GZ1882" s="1"/>
      <c r="HA1882" s="1"/>
      <c r="HB1882" s="1"/>
      <c r="HC1882" s="1"/>
      <c r="HD1882" s="1"/>
      <c r="HE1882" s="1"/>
      <c r="HF1882" s="1"/>
      <c r="HG1882" s="1"/>
      <c r="HH1882" s="1"/>
    </row>
    <row r="1883" spans="1:216" x14ac:dyDescent="0.3">
      <c r="A1883" s="3"/>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c r="EF1883" s="1"/>
      <c r="EG1883" s="1"/>
      <c r="EH1883" s="1"/>
      <c r="EI1883" s="1"/>
      <c r="EJ1883" s="1"/>
      <c r="EK1883" s="1"/>
      <c r="EL1883" s="1"/>
      <c r="EM1883" s="1"/>
      <c r="EN1883" s="1"/>
      <c r="EO1883" s="1"/>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1"/>
      <c r="FW1883" s="1"/>
      <c r="FX1883" s="1"/>
      <c r="FY1883" s="1"/>
      <c r="FZ1883" s="1"/>
      <c r="GA1883" s="1"/>
      <c r="GB1883" s="1"/>
      <c r="GC1883" s="1"/>
      <c r="GD1883" s="1"/>
      <c r="GE1883" s="1"/>
      <c r="GF1883" s="1"/>
      <c r="GG1883" s="1"/>
      <c r="GH1883" s="1"/>
      <c r="GI1883" s="1"/>
      <c r="GJ1883" s="1"/>
      <c r="GK1883" s="1"/>
      <c r="GL1883" s="1"/>
      <c r="GM1883" s="1"/>
      <c r="GN1883" s="1"/>
      <c r="GO1883" s="1"/>
      <c r="GP1883" s="1"/>
      <c r="GQ1883" s="1"/>
      <c r="GR1883" s="1"/>
      <c r="GS1883" s="1"/>
      <c r="GT1883" s="1"/>
      <c r="GU1883" s="1"/>
      <c r="GV1883" s="1"/>
      <c r="GW1883" s="1"/>
      <c r="GX1883" s="1"/>
      <c r="GY1883" s="1"/>
      <c r="GZ1883" s="1"/>
      <c r="HA1883" s="1"/>
      <c r="HB1883" s="1"/>
      <c r="HC1883" s="1"/>
      <c r="HD1883" s="1"/>
      <c r="HE1883" s="1"/>
      <c r="HF1883" s="1"/>
      <c r="HG1883" s="1"/>
      <c r="HH1883" s="1"/>
    </row>
    <row r="1884" spans="1:216" x14ac:dyDescent="0.3">
      <c r="A1884" s="3"/>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c r="EF1884" s="1"/>
      <c r="EG1884" s="1"/>
      <c r="EH1884" s="1"/>
      <c r="EI1884" s="1"/>
      <c r="EJ1884" s="1"/>
      <c r="EK1884" s="1"/>
      <c r="EL1884" s="1"/>
      <c r="EM1884" s="1"/>
      <c r="EN1884" s="1"/>
      <c r="EO1884" s="1"/>
      <c r="EP1884" s="1"/>
      <c r="EQ1884" s="1"/>
      <c r="ER1884" s="1"/>
      <c r="ES1884" s="1"/>
      <c r="ET1884" s="1"/>
      <c r="EU1884" s="1"/>
      <c r="EV1884" s="1"/>
      <c r="EW1884" s="1"/>
      <c r="EX1884" s="1"/>
      <c r="EY1884" s="1"/>
      <c r="EZ1884" s="1"/>
      <c r="FA1884" s="1"/>
      <c r="FB1884" s="1"/>
      <c r="FC1884" s="1"/>
      <c r="FD1884" s="1"/>
      <c r="FE1884" s="1"/>
      <c r="FF1884" s="1"/>
      <c r="FG1884" s="1"/>
      <c r="FH1884" s="1"/>
      <c r="FI1884" s="1"/>
      <c r="FJ1884" s="1"/>
      <c r="FK1884" s="1"/>
      <c r="FL1884" s="1"/>
      <c r="FM1884" s="1"/>
      <c r="FN1884" s="1"/>
      <c r="FO1884" s="1"/>
      <c r="FP1884" s="1"/>
      <c r="FQ1884" s="1"/>
      <c r="FR1884" s="1"/>
      <c r="FS1884" s="1"/>
      <c r="FT1884" s="1"/>
      <c r="FU1884" s="1"/>
      <c r="FV1884" s="1"/>
      <c r="FW1884" s="1"/>
      <c r="FX1884" s="1"/>
      <c r="FY1884" s="1"/>
      <c r="FZ1884" s="1"/>
      <c r="GA1884" s="1"/>
      <c r="GB1884" s="1"/>
      <c r="GC1884" s="1"/>
      <c r="GD1884" s="1"/>
      <c r="GE1884" s="1"/>
      <c r="GF1884" s="1"/>
      <c r="GG1884" s="1"/>
      <c r="GH1884" s="1"/>
      <c r="GI1884" s="1"/>
      <c r="GJ1884" s="1"/>
      <c r="GK1884" s="1"/>
      <c r="GL1884" s="1"/>
      <c r="GM1884" s="1"/>
      <c r="GN1884" s="1"/>
      <c r="GO1884" s="1"/>
      <c r="GP1884" s="1"/>
      <c r="GQ1884" s="1"/>
      <c r="GR1884" s="1"/>
      <c r="GS1884" s="1"/>
      <c r="GT1884" s="1"/>
      <c r="GU1884" s="1"/>
      <c r="GV1884" s="1"/>
      <c r="GW1884" s="1"/>
      <c r="GX1884" s="1"/>
      <c r="GY1884" s="1"/>
      <c r="GZ1884" s="1"/>
      <c r="HA1884" s="1"/>
      <c r="HB1884" s="1"/>
      <c r="HC1884" s="1"/>
      <c r="HD1884" s="1"/>
      <c r="HE1884" s="1"/>
      <c r="HF1884" s="1"/>
      <c r="HG1884" s="1"/>
      <c r="HH1884" s="1"/>
    </row>
    <row r="1885" spans="1:216" x14ac:dyDescent="0.3">
      <c r="A1885" s="3"/>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c r="EF1885" s="1"/>
      <c r="EG1885" s="1"/>
      <c r="EH1885" s="1"/>
      <c r="EI1885" s="1"/>
      <c r="EJ1885" s="1"/>
      <c r="EK1885" s="1"/>
      <c r="EL1885" s="1"/>
      <c r="EM1885" s="1"/>
      <c r="EN1885" s="1"/>
      <c r="EO1885" s="1"/>
      <c r="EP1885" s="1"/>
      <c r="EQ1885" s="1"/>
      <c r="ER1885" s="1"/>
      <c r="ES1885" s="1"/>
      <c r="ET1885" s="1"/>
      <c r="EU1885" s="1"/>
      <c r="EV1885" s="1"/>
      <c r="EW1885" s="1"/>
      <c r="EX1885" s="1"/>
      <c r="EY1885" s="1"/>
      <c r="EZ1885" s="1"/>
      <c r="FA1885" s="1"/>
      <c r="FB1885" s="1"/>
      <c r="FC1885" s="1"/>
      <c r="FD1885" s="1"/>
      <c r="FE1885" s="1"/>
      <c r="FF1885" s="1"/>
      <c r="FG1885" s="1"/>
      <c r="FH1885" s="1"/>
      <c r="FI1885" s="1"/>
      <c r="FJ1885" s="1"/>
      <c r="FK1885" s="1"/>
      <c r="FL1885" s="1"/>
      <c r="FM1885" s="1"/>
      <c r="FN1885" s="1"/>
      <c r="FO1885" s="1"/>
      <c r="FP1885" s="1"/>
      <c r="FQ1885" s="1"/>
      <c r="FR1885" s="1"/>
      <c r="FS1885" s="1"/>
      <c r="FT1885" s="1"/>
      <c r="FU1885" s="1"/>
      <c r="FV1885" s="1"/>
      <c r="FW1885" s="1"/>
      <c r="FX1885" s="1"/>
      <c r="FY1885" s="1"/>
      <c r="FZ1885" s="1"/>
      <c r="GA1885" s="1"/>
      <c r="GB1885" s="1"/>
      <c r="GC1885" s="1"/>
      <c r="GD1885" s="1"/>
      <c r="GE1885" s="1"/>
      <c r="GF1885" s="1"/>
      <c r="GG1885" s="1"/>
      <c r="GH1885" s="1"/>
      <c r="GI1885" s="1"/>
      <c r="GJ1885" s="1"/>
      <c r="GK1885" s="1"/>
      <c r="GL1885" s="1"/>
      <c r="GM1885" s="1"/>
      <c r="GN1885" s="1"/>
      <c r="GO1885" s="1"/>
      <c r="GP1885" s="1"/>
      <c r="GQ1885" s="1"/>
      <c r="GR1885" s="1"/>
      <c r="GS1885" s="1"/>
      <c r="GT1885" s="1"/>
      <c r="GU1885" s="1"/>
      <c r="GV1885" s="1"/>
      <c r="GW1885" s="1"/>
      <c r="GX1885" s="1"/>
      <c r="GY1885" s="1"/>
      <c r="GZ1885" s="1"/>
      <c r="HA1885" s="1"/>
      <c r="HB1885" s="1"/>
      <c r="HC1885" s="1"/>
      <c r="HD1885" s="1"/>
      <c r="HE1885" s="1"/>
      <c r="HF1885" s="1"/>
      <c r="HG1885" s="1"/>
      <c r="HH1885" s="1"/>
    </row>
    <row r="1886" spans="1:216" x14ac:dyDescent="0.3">
      <c r="A1886" s="3"/>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c r="EF1886" s="1"/>
      <c r="EG1886" s="1"/>
      <c r="EH1886" s="1"/>
      <c r="EI1886" s="1"/>
      <c r="EJ1886" s="1"/>
      <c r="EK1886" s="1"/>
      <c r="EL1886" s="1"/>
      <c r="EM1886" s="1"/>
      <c r="EN1886" s="1"/>
      <c r="EO1886" s="1"/>
      <c r="EP1886" s="1"/>
      <c r="EQ1886" s="1"/>
      <c r="ER1886" s="1"/>
      <c r="ES1886" s="1"/>
      <c r="ET1886" s="1"/>
      <c r="EU1886" s="1"/>
      <c r="EV1886" s="1"/>
      <c r="EW1886" s="1"/>
      <c r="EX1886" s="1"/>
      <c r="EY1886" s="1"/>
      <c r="EZ1886" s="1"/>
      <c r="FA1886" s="1"/>
      <c r="FB1886" s="1"/>
      <c r="FC1886" s="1"/>
      <c r="FD1886" s="1"/>
      <c r="FE1886" s="1"/>
      <c r="FF1886" s="1"/>
      <c r="FG1886" s="1"/>
      <c r="FH1886" s="1"/>
      <c r="FI1886" s="1"/>
      <c r="FJ1886" s="1"/>
      <c r="FK1886" s="1"/>
      <c r="FL1886" s="1"/>
      <c r="FM1886" s="1"/>
      <c r="FN1886" s="1"/>
      <c r="FO1886" s="1"/>
      <c r="FP1886" s="1"/>
      <c r="FQ1886" s="1"/>
      <c r="FR1886" s="1"/>
      <c r="FS1886" s="1"/>
      <c r="FT1886" s="1"/>
      <c r="FU1886" s="1"/>
      <c r="FV1886" s="1"/>
      <c r="FW1886" s="1"/>
      <c r="FX1886" s="1"/>
      <c r="FY1886" s="1"/>
      <c r="FZ1886" s="1"/>
      <c r="GA1886" s="1"/>
      <c r="GB1886" s="1"/>
      <c r="GC1886" s="1"/>
      <c r="GD1886" s="1"/>
      <c r="GE1886" s="1"/>
      <c r="GF1886" s="1"/>
      <c r="GG1886" s="1"/>
      <c r="GH1886" s="1"/>
      <c r="GI1886" s="1"/>
      <c r="GJ1886" s="1"/>
      <c r="GK1886" s="1"/>
      <c r="GL1886" s="1"/>
      <c r="GM1886" s="1"/>
      <c r="GN1886" s="1"/>
      <c r="GO1886" s="1"/>
      <c r="GP1886" s="1"/>
      <c r="GQ1886" s="1"/>
      <c r="GR1886" s="1"/>
      <c r="GS1886" s="1"/>
      <c r="GT1886" s="1"/>
      <c r="GU1886" s="1"/>
      <c r="GV1886" s="1"/>
      <c r="GW1886" s="1"/>
      <c r="GX1886" s="1"/>
      <c r="GY1886" s="1"/>
      <c r="GZ1886" s="1"/>
      <c r="HA1886" s="1"/>
      <c r="HB1886" s="1"/>
      <c r="HC1886" s="1"/>
      <c r="HD1886" s="1"/>
      <c r="HE1886" s="1"/>
      <c r="HF1886" s="1"/>
      <c r="HG1886" s="1"/>
      <c r="HH1886" s="1"/>
    </row>
    <row r="1887" spans="1:216" x14ac:dyDescent="0.3">
      <c r="A1887" s="3"/>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c r="EF1887" s="1"/>
      <c r="EG1887" s="1"/>
      <c r="EH1887" s="1"/>
      <c r="EI1887" s="1"/>
      <c r="EJ1887" s="1"/>
      <c r="EK1887" s="1"/>
      <c r="EL1887" s="1"/>
      <c r="EM1887" s="1"/>
      <c r="EN1887" s="1"/>
      <c r="EO1887" s="1"/>
      <c r="EP1887" s="1"/>
      <c r="EQ1887" s="1"/>
      <c r="ER1887" s="1"/>
      <c r="ES1887" s="1"/>
      <c r="ET1887" s="1"/>
      <c r="EU1887" s="1"/>
      <c r="EV1887" s="1"/>
      <c r="EW1887" s="1"/>
      <c r="EX1887" s="1"/>
      <c r="EY1887" s="1"/>
      <c r="EZ1887" s="1"/>
      <c r="FA1887" s="1"/>
      <c r="FB1887" s="1"/>
      <c r="FC1887" s="1"/>
      <c r="FD1887" s="1"/>
      <c r="FE1887" s="1"/>
      <c r="FF1887" s="1"/>
      <c r="FG1887" s="1"/>
      <c r="FH1887" s="1"/>
      <c r="FI1887" s="1"/>
      <c r="FJ1887" s="1"/>
      <c r="FK1887" s="1"/>
      <c r="FL1887" s="1"/>
      <c r="FM1887" s="1"/>
      <c r="FN1887" s="1"/>
      <c r="FO1887" s="1"/>
      <c r="FP1887" s="1"/>
      <c r="FQ1887" s="1"/>
      <c r="FR1887" s="1"/>
      <c r="FS1887" s="1"/>
      <c r="FT1887" s="1"/>
      <c r="FU1887" s="1"/>
      <c r="FV1887" s="1"/>
      <c r="FW1887" s="1"/>
      <c r="FX1887" s="1"/>
      <c r="FY1887" s="1"/>
      <c r="FZ1887" s="1"/>
      <c r="GA1887" s="1"/>
      <c r="GB1887" s="1"/>
      <c r="GC1887" s="1"/>
      <c r="GD1887" s="1"/>
      <c r="GE1887" s="1"/>
      <c r="GF1887" s="1"/>
      <c r="GG1887" s="1"/>
      <c r="GH1887" s="1"/>
      <c r="GI1887" s="1"/>
      <c r="GJ1887" s="1"/>
      <c r="GK1887" s="1"/>
      <c r="GL1887" s="1"/>
      <c r="GM1887" s="1"/>
      <c r="GN1887" s="1"/>
      <c r="GO1887" s="1"/>
      <c r="GP1887" s="1"/>
      <c r="GQ1887" s="1"/>
      <c r="GR1887" s="1"/>
      <c r="GS1887" s="1"/>
      <c r="GT1887" s="1"/>
      <c r="GU1887" s="1"/>
      <c r="GV1887" s="1"/>
      <c r="GW1887" s="1"/>
      <c r="GX1887" s="1"/>
      <c r="GY1887" s="1"/>
      <c r="GZ1887" s="1"/>
      <c r="HA1887" s="1"/>
      <c r="HB1887" s="1"/>
      <c r="HC1887" s="1"/>
      <c r="HD1887" s="1"/>
      <c r="HE1887" s="1"/>
      <c r="HF1887" s="1"/>
      <c r="HG1887" s="1"/>
      <c r="HH1887" s="1"/>
    </row>
    <row r="1888" spans="1:216" x14ac:dyDescent="0.3">
      <c r="A1888" s="3"/>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c r="EF1888" s="1"/>
      <c r="EG1888" s="1"/>
      <c r="EH1888" s="1"/>
      <c r="EI1888" s="1"/>
      <c r="EJ1888" s="1"/>
      <c r="EK1888" s="1"/>
      <c r="EL1888" s="1"/>
      <c r="EM1888" s="1"/>
      <c r="EN1888" s="1"/>
      <c r="EO1888" s="1"/>
      <c r="EP1888" s="1"/>
      <c r="EQ1888" s="1"/>
      <c r="ER1888" s="1"/>
      <c r="ES1888" s="1"/>
      <c r="ET1888" s="1"/>
      <c r="EU1888" s="1"/>
      <c r="EV1888" s="1"/>
      <c r="EW1888" s="1"/>
      <c r="EX1888" s="1"/>
      <c r="EY1888" s="1"/>
      <c r="EZ1888" s="1"/>
      <c r="FA1888" s="1"/>
      <c r="FB1888" s="1"/>
      <c r="FC1888" s="1"/>
      <c r="FD1888" s="1"/>
      <c r="FE1888" s="1"/>
      <c r="FF1888" s="1"/>
      <c r="FG1888" s="1"/>
      <c r="FH1888" s="1"/>
      <c r="FI1888" s="1"/>
      <c r="FJ1888" s="1"/>
      <c r="FK1888" s="1"/>
      <c r="FL1888" s="1"/>
      <c r="FM1888" s="1"/>
      <c r="FN1888" s="1"/>
      <c r="FO1888" s="1"/>
      <c r="FP1888" s="1"/>
      <c r="FQ1888" s="1"/>
      <c r="FR1888" s="1"/>
      <c r="FS1888" s="1"/>
      <c r="FT1888" s="1"/>
      <c r="FU1888" s="1"/>
      <c r="FV1888" s="1"/>
      <c r="FW1888" s="1"/>
      <c r="FX1888" s="1"/>
      <c r="FY1888" s="1"/>
      <c r="FZ1888" s="1"/>
      <c r="GA1888" s="1"/>
      <c r="GB1888" s="1"/>
      <c r="GC1888" s="1"/>
      <c r="GD1888" s="1"/>
      <c r="GE1888" s="1"/>
      <c r="GF1888" s="1"/>
      <c r="GG1888" s="1"/>
      <c r="GH1888" s="1"/>
      <c r="GI1888" s="1"/>
      <c r="GJ1888" s="1"/>
      <c r="GK1888" s="1"/>
      <c r="GL1888" s="1"/>
      <c r="GM1888" s="1"/>
      <c r="GN1888" s="1"/>
      <c r="GO1888" s="1"/>
      <c r="GP1888" s="1"/>
      <c r="GQ1888" s="1"/>
      <c r="GR1888" s="1"/>
      <c r="GS1888" s="1"/>
      <c r="GT1888" s="1"/>
      <c r="GU1888" s="1"/>
      <c r="GV1888" s="1"/>
      <c r="GW1888" s="1"/>
      <c r="GX1888" s="1"/>
      <c r="GY1888" s="1"/>
      <c r="GZ1888" s="1"/>
      <c r="HA1888" s="1"/>
      <c r="HB1888" s="1"/>
      <c r="HC1888" s="1"/>
      <c r="HD1888" s="1"/>
      <c r="HE1888" s="1"/>
      <c r="HF1888" s="1"/>
      <c r="HG1888" s="1"/>
      <c r="HH1888" s="1"/>
    </row>
    <row r="1889" spans="1:216" x14ac:dyDescent="0.3">
      <c r="A1889" s="3"/>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c r="EF1889" s="1"/>
      <c r="EG1889" s="1"/>
      <c r="EH1889" s="1"/>
      <c r="EI1889" s="1"/>
      <c r="EJ1889" s="1"/>
      <c r="EK1889" s="1"/>
      <c r="EL1889" s="1"/>
      <c r="EM1889" s="1"/>
      <c r="EN1889" s="1"/>
      <c r="EO1889" s="1"/>
      <c r="EP1889" s="1"/>
      <c r="EQ1889" s="1"/>
      <c r="ER1889" s="1"/>
      <c r="ES1889" s="1"/>
      <c r="ET1889" s="1"/>
      <c r="EU1889" s="1"/>
      <c r="EV1889" s="1"/>
      <c r="EW1889" s="1"/>
      <c r="EX1889" s="1"/>
      <c r="EY1889" s="1"/>
      <c r="EZ1889" s="1"/>
      <c r="FA1889" s="1"/>
      <c r="FB1889" s="1"/>
      <c r="FC1889" s="1"/>
      <c r="FD1889" s="1"/>
      <c r="FE1889" s="1"/>
      <c r="FF1889" s="1"/>
      <c r="FG1889" s="1"/>
      <c r="FH1889" s="1"/>
      <c r="FI1889" s="1"/>
      <c r="FJ1889" s="1"/>
      <c r="FK1889" s="1"/>
      <c r="FL1889" s="1"/>
      <c r="FM1889" s="1"/>
      <c r="FN1889" s="1"/>
      <c r="FO1889" s="1"/>
      <c r="FP1889" s="1"/>
      <c r="FQ1889" s="1"/>
      <c r="FR1889" s="1"/>
      <c r="FS1889" s="1"/>
      <c r="FT1889" s="1"/>
      <c r="FU1889" s="1"/>
      <c r="FV1889" s="1"/>
      <c r="FW1889" s="1"/>
      <c r="FX1889" s="1"/>
      <c r="FY1889" s="1"/>
      <c r="FZ1889" s="1"/>
      <c r="GA1889" s="1"/>
      <c r="GB1889" s="1"/>
      <c r="GC1889" s="1"/>
      <c r="GD1889" s="1"/>
      <c r="GE1889" s="1"/>
      <c r="GF1889" s="1"/>
      <c r="GG1889" s="1"/>
      <c r="GH1889" s="1"/>
      <c r="GI1889" s="1"/>
      <c r="GJ1889" s="1"/>
      <c r="GK1889" s="1"/>
      <c r="GL1889" s="1"/>
      <c r="GM1889" s="1"/>
      <c r="GN1889" s="1"/>
      <c r="GO1889" s="1"/>
      <c r="GP1889" s="1"/>
      <c r="GQ1889" s="1"/>
      <c r="GR1889" s="1"/>
      <c r="GS1889" s="1"/>
      <c r="GT1889" s="1"/>
      <c r="GU1889" s="1"/>
      <c r="GV1889" s="1"/>
      <c r="GW1889" s="1"/>
      <c r="GX1889" s="1"/>
      <c r="GY1889" s="1"/>
      <c r="GZ1889" s="1"/>
      <c r="HA1889" s="1"/>
      <c r="HB1889" s="1"/>
      <c r="HC1889" s="1"/>
      <c r="HD1889" s="1"/>
      <c r="HE1889" s="1"/>
      <c r="HF1889" s="1"/>
      <c r="HG1889" s="1"/>
      <c r="HH1889" s="1"/>
    </row>
    <row r="1890" spans="1:216" x14ac:dyDescent="0.3">
      <c r="A1890" s="3"/>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c r="EF1890" s="1"/>
      <c r="EG1890" s="1"/>
      <c r="EH1890" s="1"/>
      <c r="EI1890" s="1"/>
      <c r="EJ1890" s="1"/>
      <c r="EK1890" s="1"/>
      <c r="EL1890" s="1"/>
      <c r="EM1890" s="1"/>
      <c r="EN1890" s="1"/>
      <c r="EO1890" s="1"/>
      <c r="EP1890" s="1"/>
      <c r="EQ1890" s="1"/>
      <c r="ER1890" s="1"/>
      <c r="ES1890" s="1"/>
      <c r="ET1890" s="1"/>
      <c r="EU1890" s="1"/>
      <c r="EV1890" s="1"/>
      <c r="EW1890" s="1"/>
      <c r="EX1890" s="1"/>
      <c r="EY1890" s="1"/>
      <c r="EZ1890" s="1"/>
      <c r="FA1890" s="1"/>
      <c r="FB1890" s="1"/>
      <c r="FC1890" s="1"/>
      <c r="FD1890" s="1"/>
      <c r="FE1890" s="1"/>
      <c r="FF1890" s="1"/>
      <c r="FG1890" s="1"/>
      <c r="FH1890" s="1"/>
      <c r="FI1890" s="1"/>
      <c r="FJ1890" s="1"/>
      <c r="FK1890" s="1"/>
      <c r="FL1890" s="1"/>
      <c r="FM1890" s="1"/>
      <c r="FN1890" s="1"/>
      <c r="FO1890" s="1"/>
      <c r="FP1890" s="1"/>
      <c r="FQ1890" s="1"/>
      <c r="FR1890" s="1"/>
      <c r="FS1890" s="1"/>
      <c r="FT1890" s="1"/>
      <c r="FU1890" s="1"/>
      <c r="FV1890" s="1"/>
      <c r="FW1890" s="1"/>
      <c r="FX1890" s="1"/>
      <c r="FY1890" s="1"/>
      <c r="FZ1890" s="1"/>
      <c r="GA1890" s="1"/>
      <c r="GB1890" s="1"/>
      <c r="GC1890" s="1"/>
      <c r="GD1890" s="1"/>
      <c r="GE1890" s="1"/>
      <c r="GF1890" s="1"/>
      <c r="GG1890" s="1"/>
      <c r="GH1890" s="1"/>
      <c r="GI1890" s="1"/>
      <c r="GJ1890" s="1"/>
      <c r="GK1890" s="1"/>
      <c r="GL1890" s="1"/>
      <c r="GM1890" s="1"/>
      <c r="GN1890" s="1"/>
      <c r="GO1890" s="1"/>
      <c r="GP1890" s="1"/>
      <c r="GQ1890" s="1"/>
      <c r="GR1890" s="1"/>
      <c r="GS1890" s="1"/>
      <c r="GT1890" s="1"/>
      <c r="GU1890" s="1"/>
      <c r="GV1890" s="1"/>
      <c r="GW1890" s="1"/>
      <c r="GX1890" s="1"/>
      <c r="GY1890" s="1"/>
      <c r="GZ1890" s="1"/>
      <c r="HA1890" s="1"/>
      <c r="HB1890" s="1"/>
      <c r="HC1890" s="1"/>
      <c r="HD1890" s="1"/>
      <c r="HE1890" s="1"/>
      <c r="HF1890" s="1"/>
      <c r="HG1890" s="1"/>
      <c r="HH1890" s="1"/>
    </row>
    <row r="1891" spans="1:216" x14ac:dyDescent="0.3">
      <c r="A1891" s="3"/>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c r="EF1891" s="1"/>
      <c r="EG1891" s="1"/>
      <c r="EH1891" s="1"/>
      <c r="EI1891" s="1"/>
      <c r="EJ1891" s="1"/>
      <c r="EK1891" s="1"/>
      <c r="EL1891" s="1"/>
      <c r="EM1891" s="1"/>
      <c r="EN1891" s="1"/>
      <c r="EO1891" s="1"/>
      <c r="EP1891" s="1"/>
      <c r="EQ1891" s="1"/>
      <c r="ER1891" s="1"/>
      <c r="ES1891" s="1"/>
      <c r="ET1891" s="1"/>
      <c r="EU1891" s="1"/>
      <c r="EV1891" s="1"/>
      <c r="EW1891" s="1"/>
      <c r="EX1891" s="1"/>
      <c r="EY1891" s="1"/>
      <c r="EZ1891" s="1"/>
      <c r="FA1891" s="1"/>
      <c r="FB1891" s="1"/>
      <c r="FC1891" s="1"/>
      <c r="FD1891" s="1"/>
      <c r="FE1891" s="1"/>
      <c r="FF1891" s="1"/>
      <c r="FG1891" s="1"/>
      <c r="FH1891" s="1"/>
      <c r="FI1891" s="1"/>
      <c r="FJ1891" s="1"/>
      <c r="FK1891" s="1"/>
      <c r="FL1891" s="1"/>
      <c r="FM1891" s="1"/>
      <c r="FN1891" s="1"/>
      <c r="FO1891" s="1"/>
      <c r="FP1891" s="1"/>
      <c r="FQ1891" s="1"/>
      <c r="FR1891" s="1"/>
      <c r="FS1891" s="1"/>
      <c r="FT1891" s="1"/>
      <c r="FU1891" s="1"/>
      <c r="FV1891" s="1"/>
      <c r="FW1891" s="1"/>
      <c r="FX1891" s="1"/>
      <c r="FY1891" s="1"/>
      <c r="FZ1891" s="1"/>
      <c r="GA1891" s="1"/>
      <c r="GB1891" s="1"/>
      <c r="GC1891" s="1"/>
      <c r="GD1891" s="1"/>
      <c r="GE1891" s="1"/>
      <c r="GF1891" s="1"/>
      <c r="GG1891" s="1"/>
      <c r="GH1891" s="1"/>
      <c r="GI1891" s="1"/>
      <c r="GJ1891" s="1"/>
      <c r="GK1891" s="1"/>
      <c r="GL1891" s="1"/>
      <c r="GM1891" s="1"/>
      <c r="GN1891" s="1"/>
      <c r="GO1891" s="1"/>
      <c r="GP1891" s="1"/>
      <c r="GQ1891" s="1"/>
      <c r="GR1891" s="1"/>
      <c r="GS1891" s="1"/>
      <c r="GT1891" s="1"/>
      <c r="GU1891" s="1"/>
      <c r="GV1891" s="1"/>
      <c r="GW1891" s="1"/>
      <c r="GX1891" s="1"/>
      <c r="GY1891" s="1"/>
      <c r="GZ1891" s="1"/>
      <c r="HA1891" s="1"/>
      <c r="HB1891" s="1"/>
      <c r="HC1891" s="1"/>
      <c r="HD1891" s="1"/>
      <c r="HE1891" s="1"/>
      <c r="HF1891" s="1"/>
      <c r="HG1891" s="1"/>
      <c r="HH1891" s="1"/>
    </row>
    <row r="1892" spans="1:216" x14ac:dyDescent="0.3">
      <c r="A1892" s="3"/>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c r="EF1892" s="1"/>
      <c r="EG1892" s="1"/>
      <c r="EH1892" s="1"/>
      <c r="EI1892" s="1"/>
      <c r="EJ1892" s="1"/>
      <c r="EK1892" s="1"/>
      <c r="EL1892" s="1"/>
      <c r="EM1892" s="1"/>
      <c r="EN1892" s="1"/>
      <c r="EO1892" s="1"/>
      <c r="EP1892" s="1"/>
      <c r="EQ1892" s="1"/>
      <c r="ER1892" s="1"/>
      <c r="ES1892" s="1"/>
      <c r="ET1892" s="1"/>
      <c r="EU1892" s="1"/>
      <c r="EV1892" s="1"/>
      <c r="EW1892" s="1"/>
      <c r="EX1892" s="1"/>
      <c r="EY1892" s="1"/>
      <c r="EZ1892" s="1"/>
      <c r="FA1892" s="1"/>
      <c r="FB1892" s="1"/>
      <c r="FC1892" s="1"/>
      <c r="FD1892" s="1"/>
      <c r="FE1892" s="1"/>
      <c r="FF1892" s="1"/>
      <c r="FG1892" s="1"/>
      <c r="FH1892" s="1"/>
      <c r="FI1892" s="1"/>
      <c r="FJ1892" s="1"/>
      <c r="FK1892" s="1"/>
      <c r="FL1892" s="1"/>
      <c r="FM1892" s="1"/>
      <c r="FN1892" s="1"/>
      <c r="FO1892" s="1"/>
      <c r="FP1892" s="1"/>
      <c r="FQ1892" s="1"/>
      <c r="FR1892" s="1"/>
      <c r="FS1892" s="1"/>
      <c r="FT1892" s="1"/>
      <c r="FU1892" s="1"/>
      <c r="FV1892" s="1"/>
      <c r="FW1892" s="1"/>
      <c r="FX1892" s="1"/>
      <c r="FY1892" s="1"/>
      <c r="FZ1892" s="1"/>
      <c r="GA1892" s="1"/>
      <c r="GB1892" s="1"/>
      <c r="GC1892" s="1"/>
      <c r="GD1892" s="1"/>
      <c r="GE1892" s="1"/>
      <c r="GF1892" s="1"/>
      <c r="GG1892" s="1"/>
      <c r="GH1892" s="1"/>
      <c r="GI1892" s="1"/>
      <c r="GJ1892" s="1"/>
      <c r="GK1892" s="1"/>
      <c r="GL1892" s="1"/>
      <c r="GM1892" s="1"/>
      <c r="GN1892" s="1"/>
      <c r="GO1892" s="1"/>
      <c r="GP1892" s="1"/>
      <c r="GQ1892" s="1"/>
      <c r="GR1892" s="1"/>
      <c r="GS1892" s="1"/>
      <c r="GT1892" s="1"/>
      <c r="GU1892" s="1"/>
      <c r="GV1892" s="1"/>
      <c r="GW1892" s="1"/>
      <c r="GX1892" s="1"/>
      <c r="GY1892" s="1"/>
      <c r="GZ1892" s="1"/>
      <c r="HA1892" s="1"/>
      <c r="HB1892" s="1"/>
      <c r="HC1892" s="1"/>
      <c r="HD1892" s="1"/>
      <c r="HE1892" s="1"/>
      <c r="HF1892" s="1"/>
      <c r="HG1892" s="1"/>
      <c r="HH1892" s="1"/>
    </row>
    <row r="1893" spans="1:216" x14ac:dyDescent="0.3">
      <c r="A1893" s="3"/>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c r="EF1893" s="1"/>
      <c r="EG1893" s="1"/>
      <c r="EH1893" s="1"/>
      <c r="EI1893" s="1"/>
      <c r="EJ1893" s="1"/>
      <c r="EK1893" s="1"/>
      <c r="EL1893" s="1"/>
      <c r="EM1893" s="1"/>
      <c r="EN1893" s="1"/>
      <c r="EO1893" s="1"/>
      <c r="EP1893" s="1"/>
      <c r="EQ1893" s="1"/>
      <c r="ER1893" s="1"/>
      <c r="ES1893" s="1"/>
      <c r="ET1893" s="1"/>
      <c r="EU1893" s="1"/>
      <c r="EV1893" s="1"/>
      <c r="EW1893" s="1"/>
      <c r="EX1893" s="1"/>
      <c r="EY1893" s="1"/>
      <c r="EZ1893" s="1"/>
      <c r="FA1893" s="1"/>
      <c r="FB1893" s="1"/>
      <c r="FC1893" s="1"/>
      <c r="FD1893" s="1"/>
      <c r="FE1893" s="1"/>
      <c r="FF1893" s="1"/>
      <c r="FG1893" s="1"/>
      <c r="FH1893" s="1"/>
      <c r="FI1893" s="1"/>
      <c r="FJ1893" s="1"/>
      <c r="FK1893" s="1"/>
      <c r="FL1893" s="1"/>
      <c r="FM1893" s="1"/>
      <c r="FN1893" s="1"/>
      <c r="FO1893" s="1"/>
      <c r="FP1893" s="1"/>
      <c r="FQ1893" s="1"/>
      <c r="FR1893" s="1"/>
      <c r="FS1893" s="1"/>
      <c r="FT1893" s="1"/>
      <c r="FU1893" s="1"/>
      <c r="FV1893" s="1"/>
      <c r="FW1893" s="1"/>
      <c r="FX1893" s="1"/>
      <c r="FY1893" s="1"/>
      <c r="FZ1893" s="1"/>
      <c r="GA1893" s="1"/>
      <c r="GB1893" s="1"/>
      <c r="GC1893" s="1"/>
      <c r="GD1893" s="1"/>
      <c r="GE1893" s="1"/>
      <c r="GF1893" s="1"/>
      <c r="GG1893" s="1"/>
      <c r="GH1893" s="1"/>
      <c r="GI1893" s="1"/>
      <c r="GJ1893" s="1"/>
      <c r="GK1893" s="1"/>
      <c r="GL1893" s="1"/>
      <c r="GM1893" s="1"/>
      <c r="GN1893" s="1"/>
      <c r="GO1893" s="1"/>
      <c r="GP1893" s="1"/>
      <c r="GQ1893" s="1"/>
      <c r="GR1893" s="1"/>
      <c r="GS1893" s="1"/>
      <c r="GT1893" s="1"/>
      <c r="GU1893" s="1"/>
      <c r="GV1893" s="1"/>
      <c r="GW1893" s="1"/>
      <c r="GX1893" s="1"/>
      <c r="GY1893" s="1"/>
      <c r="GZ1893" s="1"/>
      <c r="HA1893" s="1"/>
      <c r="HB1893" s="1"/>
      <c r="HC1893" s="1"/>
      <c r="HD1893" s="1"/>
      <c r="HE1893" s="1"/>
      <c r="HF1893" s="1"/>
      <c r="HG1893" s="1"/>
      <c r="HH1893" s="1"/>
    </row>
    <row r="1894" spans="1:216" x14ac:dyDescent="0.3">
      <c r="A1894" s="3"/>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c r="EF1894" s="1"/>
      <c r="EG1894" s="1"/>
      <c r="EH1894" s="1"/>
      <c r="EI1894" s="1"/>
      <c r="EJ1894" s="1"/>
      <c r="EK1894" s="1"/>
      <c r="EL1894" s="1"/>
      <c r="EM1894" s="1"/>
      <c r="EN1894" s="1"/>
      <c r="EO1894" s="1"/>
      <c r="EP1894" s="1"/>
      <c r="EQ1894" s="1"/>
      <c r="ER1894" s="1"/>
      <c r="ES1894" s="1"/>
      <c r="ET1894" s="1"/>
      <c r="EU1894" s="1"/>
      <c r="EV1894" s="1"/>
      <c r="EW1894" s="1"/>
      <c r="EX1894" s="1"/>
      <c r="EY1894" s="1"/>
      <c r="EZ1894" s="1"/>
      <c r="FA1894" s="1"/>
      <c r="FB1894" s="1"/>
      <c r="FC1894" s="1"/>
      <c r="FD1894" s="1"/>
      <c r="FE1894" s="1"/>
      <c r="FF1894" s="1"/>
      <c r="FG1894" s="1"/>
      <c r="FH1894" s="1"/>
      <c r="FI1894" s="1"/>
      <c r="FJ1894" s="1"/>
      <c r="FK1894" s="1"/>
      <c r="FL1894" s="1"/>
      <c r="FM1894" s="1"/>
      <c r="FN1894" s="1"/>
      <c r="FO1894" s="1"/>
      <c r="FP1894" s="1"/>
      <c r="FQ1894" s="1"/>
      <c r="FR1894" s="1"/>
      <c r="FS1894" s="1"/>
      <c r="FT1894" s="1"/>
      <c r="FU1894" s="1"/>
      <c r="FV1894" s="1"/>
      <c r="FW1894" s="1"/>
      <c r="FX1894" s="1"/>
      <c r="FY1894" s="1"/>
      <c r="FZ1894" s="1"/>
      <c r="GA1894" s="1"/>
      <c r="GB1894" s="1"/>
      <c r="GC1894" s="1"/>
      <c r="GD1894" s="1"/>
      <c r="GE1894" s="1"/>
      <c r="GF1894" s="1"/>
      <c r="GG1894" s="1"/>
      <c r="GH1894" s="1"/>
      <c r="GI1894" s="1"/>
      <c r="GJ1894" s="1"/>
      <c r="GK1894" s="1"/>
      <c r="GL1894" s="1"/>
      <c r="GM1894" s="1"/>
      <c r="GN1894" s="1"/>
      <c r="GO1894" s="1"/>
      <c r="GP1894" s="1"/>
      <c r="GQ1894" s="1"/>
      <c r="GR1894" s="1"/>
      <c r="GS1894" s="1"/>
      <c r="GT1894" s="1"/>
      <c r="GU1894" s="1"/>
      <c r="GV1894" s="1"/>
      <c r="GW1894" s="1"/>
      <c r="GX1894" s="1"/>
      <c r="GY1894" s="1"/>
      <c r="GZ1894" s="1"/>
      <c r="HA1894" s="1"/>
      <c r="HB1894" s="1"/>
      <c r="HC1894" s="1"/>
      <c r="HD1894" s="1"/>
      <c r="HE1894" s="1"/>
      <c r="HF1894" s="1"/>
      <c r="HG1894" s="1"/>
      <c r="HH1894" s="1"/>
    </row>
    <row r="1895" spans="1:216" x14ac:dyDescent="0.3">
      <c r="A1895" s="3"/>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c r="EF1895" s="1"/>
      <c r="EG1895" s="1"/>
      <c r="EH1895" s="1"/>
      <c r="EI1895" s="1"/>
      <c r="EJ1895" s="1"/>
      <c r="EK1895" s="1"/>
      <c r="EL1895" s="1"/>
      <c r="EM1895" s="1"/>
      <c r="EN1895" s="1"/>
      <c r="EO1895" s="1"/>
      <c r="EP1895" s="1"/>
      <c r="EQ1895" s="1"/>
      <c r="ER1895" s="1"/>
      <c r="ES1895" s="1"/>
      <c r="ET1895" s="1"/>
      <c r="EU1895" s="1"/>
      <c r="EV1895" s="1"/>
      <c r="EW1895" s="1"/>
      <c r="EX1895" s="1"/>
      <c r="EY1895" s="1"/>
      <c r="EZ1895" s="1"/>
      <c r="FA1895" s="1"/>
      <c r="FB1895" s="1"/>
      <c r="FC1895" s="1"/>
      <c r="FD1895" s="1"/>
      <c r="FE1895" s="1"/>
      <c r="FF1895" s="1"/>
      <c r="FG1895" s="1"/>
      <c r="FH1895" s="1"/>
      <c r="FI1895" s="1"/>
      <c r="FJ1895" s="1"/>
      <c r="FK1895" s="1"/>
      <c r="FL1895" s="1"/>
      <c r="FM1895" s="1"/>
      <c r="FN1895" s="1"/>
      <c r="FO1895" s="1"/>
      <c r="FP1895" s="1"/>
      <c r="FQ1895" s="1"/>
      <c r="FR1895" s="1"/>
      <c r="FS1895" s="1"/>
      <c r="FT1895" s="1"/>
      <c r="FU1895" s="1"/>
      <c r="FV1895" s="1"/>
      <c r="FW1895" s="1"/>
      <c r="FX1895" s="1"/>
      <c r="FY1895" s="1"/>
      <c r="FZ1895" s="1"/>
      <c r="GA1895" s="1"/>
      <c r="GB1895" s="1"/>
      <c r="GC1895" s="1"/>
      <c r="GD1895" s="1"/>
      <c r="GE1895" s="1"/>
      <c r="GF1895" s="1"/>
      <c r="GG1895" s="1"/>
      <c r="GH1895" s="1"/>
      <c r="GI1895" s="1"/>
      <c r="GJ1895" s="1"/>
      <c r="GK1895" s="1"/>
      <c r="GL1895" s="1"/>
      <c r="GM1895" s="1"/>
      <c r="GN1895" s="1"/>
      <c r="GO1895" s="1"/>
      <c r="GP1895" s="1"/>
      <c r="GQ1895" s="1"/>
      <c r="GR1895" s="1"/>
      <c r="GS1895" s="1"/>
      <c r="GT1895" s="1"/>
      <c r="GU1895" s="1"/>
      <c r="GV1895" s="1"/>
      <c r="GW1895" s="1"/>
      <c r="GX1895" s="1"/>
      <c r="GY1895" s="1"/>
      <c r="GZ1895" s="1"/>
      <c r="HA1895" s="1"/>
      <c r="HB1895" s="1"/>
      <c r="HC1895" s="1"/>
      <c r="HD1895" s="1"/>
      <c r="HE1895" s="1"/>
      <c r="HF1895" s="1"/>
      <c r="HG1895" s="1"/>
      <c r="HH1895" s="1"/>
    </row>
    <row r="1896" spans="1:216" x14ac:dyDescent="0.3">
      <c r="A1896" s="3"/>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c r="EF1896" s="1"/>
      <c r="EG1896" s="1"/>
      <c r="EH1896" s="1"/>
      <c r="EI1896" s="1"/>
      <c r="EJ1896" s="1"/>
      <c r="EK1896" s="1"/>
      <c r="EL1896" s="1"/>
      <c r="EM1896" s="1"/>
      <c r="EN1896" s="1"/>
      <c r="EO1896" s="1"/>
      <c r="EP1896" s="1"/>
      <c r="EQ1896" s="1"/>
      <c r="ER1896" s="1"/>
      <c r="ES1896" s="1"/>
      <c r="ET1896" s="1"/>
      <c r="EU1896" s="1"/>
      <c r="EV1896" s="1"/>
      <c r="EW1896" s="1"/>
      <c r="EX1896" s="1"/>
      <c r="EY1896" s="1"/>
      <c r="EZ1896" s="1"/>
      <c r="FA1896" s="1"/>
      <c r="FB1896" s="1"/>
      <c r="FC1896" s="1"/>
      <c r="FD1896" s="1"/>
      <c r="FE1896" s="1"/>
      <c r="FF1896" s="1"/>
      <c r="FG1896" s="1"/>
      <c r="FH1896" s="1"/>
      <c r="FI1896" s="1"/>
      <c r="FJ1896" s="1"/>
      <c r="FK1896" s="1"/>
      <c r="FL1896" s="1"/>
      <c r="FM1896" s="1"/>
      <c r="FN1896" s="1"/>
      <c r="FO1896" s="1"/>
      <c r="FP1896" s="1"/>
      <c r="FQ1896" s="1"/>
      <c r="FR1896" s="1"/>
      <c r="FS1896" s="1"/>
      <c r="FT1896" s="1"/>
      <c r="FU1896" s="1"/>
      <c r="FV1896" s="1"/>
      <c r="FW1896" s="1"/>
      <c r="FX1896" s="1"/>
      <c r="FY1896" s="1"/>
      <c r="FZ1896" s="1"/>
      <c r="GA1896" s="1"/>
      <c r="GB1896" s="1"/>
      <c r="GC1896" s="1"/>
      <c r="GD1896" s="1"/>
      <c r="GE1896" s="1"/>
      <c r="GF1896" s="1"/>
      <c r="GG1896" s="1"/>
      <c r="GH1896" s="1"/>
      <c r="GI1896" s="1"/>
      <c r="GJ1896" s="1"/>
      <c r="GK1896" s="1"/>
      <c r="GL1896" s="1"/>
      <c r="GM1896" s="1"/>
      <c r="GN1896" s="1"/>
      <c r="GO1896" s="1"/>
      <c r="GP1896" s="1"/>
      <c r="GQ1896" s="1"/>
      <c r="GR1896" s="1"/>
      <c r="GS1896" s="1"/>
      <c r="GT1896" s="1"/>
      <c r="GU1896" s="1"/>
      <c r="GV1896" s="1"/>
      <c r="GW1896" s="1"/>
      <c r="GX1896" s="1"/>
      <c r="GY1896" s="1"/>
      <c r="GZ1896" s="1"/>
      <c r="HA1896" s="1"/>
      <c r="HB1896" s="1"/>
      <c r="HC1896" s="1"/>
      <c r="HD1896" s="1"/>
      <c r="HE1896" s="1"/>
      <c r="HF1896" s="1"/>
      <c r="HG1896" s="1"/>
      <c r="HH1896" s="1"/>
    </row>
    <row r="1897" spans="1:216" x14ac:dyDescent="0.3">
      <c r="A1897" s="3"/>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c r="EF1897" s="1"/>
      <c r="EG1897" s="1"/>
      <c r="EH1897" s="1"/>
      <c r="EI1897" s="1"/>
      <c r="EJ1897" s="1"/>
      <c r="EK1897" s="1"/>
      <c r="EL1897" s="1"/>
      <c r="EM1897" s="1"/>
      <c r="EN1897" s="1"/>
      <c r="EO1897" s="1"/>
      <c r="EP1897" s="1"/>
      <c r="EQ1897" s="1"/>
      <c r="ER1897" s="1"/>
      <c r="ES1897" s="1"/>
      <c r="ET1897" s="1"/>
      <c r="EU1897" s="1"/>
      <c r="EV1897" s="1"/>
      <c r="EW1897" s="1"/>
      <c r="EX1897" s="1"/>
      <c r="EY1897" s="1"/>
      <c r="EZ1897" s="1"/>
      <c r="FA1897" s="1"/>
      <c r="FB1897" s="1"/>
      <c r="FC1897" s="1"/>
      <c r="FD1897" s="1"/>
      <c r="FE1897" s="1"/>
      <c r="FF1897" s="1"/>
      <c r="FG1897" s="1"/>
      <c r="FH1897" s="1"/>
      <c r="FI1897" s="1"/>
      <c r="FJ1897" s="1"/>
      <c r="FK1897" s="1"/>
      <c r="FL1897" s="1"/>
      <c r="FM1897" s="1"/>
      <c r="FN1897" s="1"/>
      <c r="FO1897" s="1"/>
      <c r="FP1897" s="1"/>
      <c r="FQ1897" s="1"/>
      <c r="FR1897" s="1"/>
      <c r="FS1897" s="1"/>
      <c r="FT1897" s="1"/>
      <c r="FU1897" s="1"/>
      <c r="FV1897" s="1"/>
      <c r="FW1897" s="1"/>
      <c r="FX1897" s="1"/>
      <c r="FY1897" s="1"/>
      <c r="FZ1897" s="1"/>
      <c r="GA1897" s="1"/>
      <c r="GB1897" s="1"/>
      <c r="GC1897" s="1"/>
      <c r="GD1897" s="1"/>
      <c r="GE1897" s="1"/>
      <c r="GF1897" s="1"/>
      <c r="GG1897" s="1"/>
      <c r="GH1897" s="1"/>
      <c r="GI1897" s="1"/>
      <c r="GJ1897" s="1"/>
      <c r="GK1897" s="1"/>
      <c r="GL1897" s="1"/>
      <c r="GM1897" s="1"/>
      <c r="GN1897" s="1"/>
      <c r="GO1897" s="1"/>
      <c r="GP1897" s="1"/>
      <c r="GQ1897" s="1"/>
      <c r="GR1897" s="1"/>
      <c r="GS1897" s="1"/>
      <c r="GT1897" s="1"/>
      <c r="GU1897" s="1"/>
      <c r="GV1897" s="1"/>
      <c r="GW1897" s="1"/>
      <c r="GX1897" s="1"/>
      <c r="GY1897" s="1"/>
      <c r="GZ1897" s="1"/>
      <c r="HA1897" s="1"/>
      <c r="HB1897" s="1"/>
      <c r="HC1897" s="1"/>
      <c r="HD1897" s="1"/>
      <c r="HE1897" s="1"/>
      <c r="HF1897" s="1"/>
      <c r="HG1897" s="1"/>
      <c r="HH1897" s="1"/>
    </row>
    <row r="1898" spans="1:216" x14ac:dyDescent="0.3">
      <c r="A1898" s="3"/>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c r="EF1898" s="1"/>
      <c r="EG1898" s="1"/>
      <c r="EH1898" s="1"/>
      <c r="EI1898" s="1"/>
      <c r="EJ1898" s="1"/>
      <c r="EK1898" s="1"/>
      <c r="EL1898" s="1"/>
      <c r="EM1898" s="1"/>
      <c r="EN1898" s="1"/>
      <c r="EO1898" s="1"/>
      <c r="EP1898" s="1"/>
      <c r="EQ1898" s="1"/>
      <c r="ER1898" s="1"/>
      <c r="ES1898" s="1"/>
      <c r="ET1898" s="1"/>
      <c r="EU1898" s="1"/>
      <c r="EV1898" s="1"/>
      <c r="EW1898" s="1"/>
      <c r="EX1898" s="1"/>
      <c r="EY1898" s="1"/>
      <c r="EZ1898" s="1"/>
      <c r="FA1898" s="1"/>
      <c r="FB1898" s="1"/>
      <c r="FC1898" s="1"/>
      <c r="FD1898" s="1"/>
      <c r="FE1898" s="1"/>
      <c r="FF1898" s="1"/>
      <c r="FG1898" s="1"/>
      <c r="FH1898" s="1"/>
      <c r="FI1898" s="1"/>
      <c r="FJ1898" s="1"/>
      <c r="FK1898" s="1"/>
      <c r="FL1898" s="1"/>
      <c r="FM1898" s="1"/>
      <c r="FN1898" s="1"/>
      <c r="FO1898" s="1"/>
      <c r="FP1898" s="1"/>
      <c r="FQ1898" s="1"/>
      <c r="FR1898" s="1"/>
      <c r="FS1898" s="1"/>
      <c r="FT1898" s="1"/>
      <c r="FU1898" s="1"/>
      <c r="FV1898" s="1"/>
      <c r="FW1898" s="1"/>
      <c r="FX1898" s="1"/>
      <c r="FY1898" s="1"/>
      <c r="FZ1898" s="1"/>
      <c r="GA1898" s="1"/>
      <c r="GB1898" s="1"/>
      <c r="GC1898" s="1"/>
      <c r="GD1898" s="1"/>
      <c r="GE1898" s="1"/>
      <c r="GF1898" s="1"/>
      <c r="GG1898" s="1"/>
      <c r="GH1898" s="1"/>
      <c r="GI1898" s="1"/>
      <c r="GJ1898" s="1"/>
      <c r="GK1898" s="1"/>
      <c r="GL1898" s="1"/>
      <c r="GM1898" s="1"/>
      <c r="GN1898" s="1"/>
      <c r="GO1898" s="1"/>
      <c r="GP1898" s="1"/>
      <c r="GQ1898" s="1"/>
      <c r="GR1898" s="1"/>
      <c r="GS1898" s="1"/>
      <c r="GT1898" s="1"/>
      <c r="GU1898" s="1"/>
      <c r="GV1898" s="1"/>
      <c r="GW1898" s="1"/>
      <c r="GX1898" s="1"/>
      <c r="GY1898" s="1"/>
      <c r="GZ1898" s="1"/>
      <c r="HA1898" s="1"/>
      <c r="HB1898" s="1"/>
      <c r="HC1898" s="1"/>
      <c r="HD1898" s="1"/>
      <c r="HE1898" s="1"/>
      <c r="HF1898" s="1"/>
      <c r="HG1898" s="1"/>
      <c r="HH1898" s="1"/>
    </row>
    <row r="1899" spans="1:216" x14ac:dyDescent="0.3">
      <c r="A1899" s="3"/>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c r="EF1899" s="1"/>
      <c r="EG1899" s="1"/>
      <c r="EH1899" s="1"/>
      <c r="EI1899" s="1"/>
      <c r="EJ1899" s="1"/>
      <c r="EK1899" s="1"/>
      <c r="EL1899" s="1"/>
      <c r="EM1899" s="1"/>
      <c r="EN1899" s="1"/>
      <c r="EO1899" s="1"/>
      <c r="EP1899" s="1"/>
      <c r="EQ1899" s="1"/>
      <c r="ER1899" s="1"/>
      <c r="ES1899" s="1"/>
      <c r="ET1899" s="1"/>
      <c r="EU1899" s="1"/>
      <c r="EV1899" s="1"/>
      <c r="EW1899" s="1"/>
      <c r="EX1899" s="1"/>
      <c r="EY1899" s="1"/>
      <c r="EZ1899" s="1"/>
      <c r="FA1899" s="1"/>
      <c r="FB1899" s="1"/>
      <c r="FC1899" s="1"/>
      <c r="FD1899" s="1"/>
      <c r="FE1899" s="1"/>
      <c r="FF1899" s="1"/>
      <c r="FG1899" s="1"/>
      <c r="FH1899" s="1"/>
      <c r="FI1899" s="1"/>
      <c r="FJ1899" s="1"/>
      <c r="FK1899" s="1"/>
      <c r="FL1899" s="1"/>
      <c r="FM1899" s="1"/>
      <c r="FN1899" s="1"/>
      <c r="FO1899" s="1"/>
      <c r="FP1899" s="1"/>
      <c r="FQ1899" s="1"/>
      <c r="FR1899" s="1"/>
      <c r="FS1899" s="1"/>
      <c r="FT1899" s="1"/>
      <c r="FU1899" s="1"/>
      <c r="FV1899" s="1"/>
      <c r="FW1899" s="1"/>
      <c r="FX1899" s="1"/>
      <c r="FY1899" s="1"/>
      <c r="FZ1899" s="1"/>
      <c r="GA1899" s="1"/>
      <c r="GB1899" s="1"/>
      <c r="GC1899" s="1"/>
      <c r="GD1899" s="1"/>
      <c r="GE1899" s="1"/>
      <c r="GF1899" s="1"/>
      <c r="GG1899" s="1"/>
      <c r="GH1899" s="1"/>
      <c r="GI1899" s="1"/>
      <c r="GJ1899" s="1"/>
      <c r="GK1899" s="1"/>
      <c r="GL1899" s="1"/>
      <c r="GM1899" s="1"/>
      <c r="GN1899" s="1"/>
      <c r="GO1899" s="1"/>
      <c r="GP1899" s="1"/>
      <c r="GQ1899" s="1"/>
      <c r="GR1899" s="1"/>
      <c r="GS1899" s="1"/>
      <c r="GT1899" s="1"/>
      <c r="GU1899" s="1"/>
      <c r="GV1899" s="1"/>
      <c r="GW1899" s="1"/>
      <c r="GX1899" s="1"/>
      <c r="GY1899" s="1"/>
      <c r="GZ1899" s="1"/>
      <c r="HA1899" s="1"/>
      <c r="HB1899" s="1"/>
      <c r="HC1899" s="1"/>
      <c r="HD1899" s="1"/>
      <c r="HE1899" s="1"/>
      <c r="HF1899" s="1"/>
      <c r="HG1899" s="1"/>
      <c r="HH1899" s="1"/>
    </row>
    <row r="1900" spans="1:216" x14ac:dyDescent="0.3">
      <c r="A1900" s="3"/>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c r="EF1900" s="1"/>
      <c r="EG1900" s="1"/>
      <c r="EH1900" s="1"/>
      <c r="EI1900" s="1"/>
      <c r="EJ1900" s="1"/>
      <c r="EK1900" s="1"/>
      <c r="EL1900" s="1"/>
      <c r="EM1900" s="1"/>
      <c r="EN1900" s="1"/>
      <c r="EO1900" s="1"/>
      <c r="EP1900" s="1"/>
      <c r="EQ1900" s="1"/>
      <c r="ER1900" s="1"/>
      <c r="ES1900" s="1"/>
      <c r="ET1900" s="1"/>
      <c r="EU1900" s="1"/>
      <c r="EV1900" s="1"/>
      <c r="EW1900" s="1"/>
      <c r="EX1900" s="1"/>
      <c r="EY1900" s="1"/>
      <c r="EZ1900" s="1"/>
      <c r="FA1900" s="1"/>
      <c r="FB1900" s="1"/>
      <c r="FC1900" s="1"/>
      <c r="FD1900" s="1"/>
      <c r="FE1900" s="1"/>
      <c r="FF1900" s="1"/>
      <c r="FG1900" s="1"/>
      <c r="FH1900" s="1"/>
      <c r="FI1900" s="1"/>
      <c r="FJ1900" s="1"/>
      <c r="FK1900" s="1"/>
      <c r="FL1900" s="1"/>
      <c r="FM1900" s="1"/>
      <c r="FN1900" s="1"/>
      <c r="FO1900" s="1"/>
      <c r="FP1900" s="1"/>
      <c r="FQ1900" s="1"/>
      <c r="FR1900" s="1"/>
      <c r="FS1900" s="1"/>
      <c r="FT1900" s="1"/>
      <c r="FU1900" s="1"/>
      <c r="FV1900" s="1"/>
      <c r="FW1900" s="1"/>
      <c r="FX1900" s="1"/>
      <c r="FY1900" s="1"/>
      <c r="FZ1900" s="1"/>
      <c r="GA1900" s="1"/>
      <c r="GB1900" s="1"/>
      <c r="GC1900" s="1"/>
      <c r="GD1900" s="1"/>
      <c r="GE1900" s="1"/>
      <c r="GF1900" s="1"/>
      <c r="GG1900" s="1"/>
      <c r="GH1900" s="1"/>
      <c r="GI1900" s="1"/>
      <c r="GJ1900" s="1"/>
      <c r="GK1900" s="1"/>
      <c r="GL1900" s="1"/>
      <c r="GM1900" s="1"/>
      <c r="GN1900" s="1"/>
      <c r="GO1900" s="1"/>
      <c r="GP1900" s="1"/>
      <c r="GQ1900" s="1"/>
      <c r="GR1900" s="1"/>
      <c r="GS1900" s="1"/>
      <c r="GT1900" s="1"/>
      <c r="GU1900" s="1"/>
      <c r="GV1900" s="1"/>
      <c r="GW1900" s="1"/>
      <c r="GX1900" s="1"/>
      <c r="GY1900" s="1"/>
      <c r="GZ1900" s="1"/>
      <c r="HA1900" s="1"/>
      <c r="HB1900" s="1"/>
      <c r="HC1900" s="1"/>
      <c r="HD1900" s="1"/>
      <c r="HE1900" s="1"/>
      <c r="HF1900" s="1"/>
      <c r="HG1900" s="1"/>
      <c r="HH1900" s="1"/>
    </row>
    <row r="1901" spans="1:216" x14ac:dyDescent="0.3">
      <c r="A1901" s="3"/>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c r="EF1901" s="1"/>
      <c r="EG1901" s="1"/>
      <c r="EH1901" s="1"/>
      <c r="EI1901" s="1"/>
      <c r="EJ1901" s="1"/>
      <c r="EK1901" s="1"/>
      <c r="EL1901" s="1"/>
      <c r="EM1901" s="1"/>
      <c r="EN1901" s="1"/>
      <c r="EO1901" s="1"/>
      <c r="EP1901" s="1"/>
      <c r="EQ1901" s="1"/>
      <c r="ER1901" s="1"/>
      <c r="ES1901" s="1"/>
      <c r="ET1901" s="1"/>
      <c r="EU1901" s="1"/>
      <c r="EV1901" s="1"/>
      <c r="EW1901" s="1"/>
      <c r="EX1901" s="1"/>
      <c r="EY1901" s="1"/>
      <c r="EZ1901" s="1"/>
      <c r="FA1901" s="1"/>
      <c r="FB1901" s="1"/>
      <c r="FC1901" s="1"/>
      <c r="FD1901" s="1"/>
      <c r="FE1901" s="1"/>
      <c r="FF1901" s="1"/>
      <c r="FG1901" s="1"/>
      <c r="FH1901" s="1"/>
      <c r="FI1901" s="1"/>
      <c r="FJ1901" s="1"/>
      <c r="FK1901" s="1"/>
      <c r="FL1901" s="1"/>
      <c r="FM1901" s="1"/>
      <c r="FN1901" s="1"/>
      <c r="FO1901" s="1"/>
      <c r="FP1901" s="1"/>
      <c r="FQ1901" s="1"/>
      <c r="FR1901" s="1"/>
      <c r="FS1901" s="1"/>
      <c r="FT1901" s="1"/>
      <c r="FU1901" s="1"/>
      <c r="FV1901" s="1"/>
      <c r="FW1901" s="1"/>
      <c r="FX1901" s="1"/>
      <c r="FY1901" s="1"/>
      <c r="FZ1901" s="1"/>
      <c r="GA1901" s="1"/>
      <c r="GB1901" s="1"/>
      <c r="GC1901" s="1"/>
      <c r="GD1901" s="1"/>
      <c r="GE1901" s="1"/>
      <c r="GF1901" s="1"/>
      <c r="GG1901" s="1"/>
      <c r="GH1901" s="1"/>
      <c r="GI1901" s="1"/>
      <c r="GJ1901" s="1"/>
      <c r="GK1901" s="1"/>
      <c r="GL1901" s="1"/>
      <c r="GM1901" s="1"/>
      <c r="GN1901" s="1"/>
      <c r="GO1901" s="1"/>
      <c r="GP1901" s="1"/>
      <c r="GQ1901" s="1"/>
      <c r="GR1901" s="1"/>
      <c r="GS1901" s="1"/>
      <c r="GT1901" s="1"/>
      <c r="GU1901" s="1"/>
      <c r="GV1901" s="1"/>
      <c r="GW1901" s="1"/>
      <c r="GX1901" s="1"/>
      <c r="GY1901" s="1"/>
      <c r="GZ1901" s="1"/>
      <c r="HA1901" s="1"/>
      <c r="HB1901" s="1"/>
      <c r="HC1901" s="1"/>
      <c r="HD1901" s="1"/>
      <c r="HE1901" s="1"/>
      <c r="HF1901" s="1"/>
      <c r="HG1901" s="1"/>
      <c r="HH1901" s="1"/>
    </row>
    <row r="1902" spans="1:216" x14ac:dyDescent="0.3">
      <c r="A1902" s="3"/>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c r="EF1902" s="1"/>
      <c r="EG1902" s="1"/>
      <c r="EH1902" s="1"/>
      <c r="EI1902" s="1"/>
      <c r="EJ1902" s="1"/>
      <c r="EK1902" s="1"/>
      <c r="EL1902" s="1"/>
      <c r="EM1902" s="1"/>
      <c r="EN1902" s="1"/>
      <c r="EO1902" s="1"/>
      <c r="EP1902" s="1"/>
      <c r="EQ1902" s="1"/>
      <c r="ER1902" s="1"/>
      <c r="ES1902" s="1"/>
      <c r="ET1902" s="1"/>
      <c r="EU1902" s="1"/>
      <c r="EV1902" s="1"/>
      <c r="EW1902" s="1"/>
      <c r="EX1902" s="1"/>
      <c r="EY1902" s="1"/>
      <c r="EZ1902" s="1"/>
      <c r="FA1902" s="1"/>
      <c r="FB1902" s="1"/>
      <c r="FC1902" s="1"/>
      <c r="FD1902" s="1"/>
      <c r="FE1902" s="1"/>
      <c r="FF1902" s="1"/>
      <c r="FG1902" s="1"/>
      <c r="FH1902" s="1"/>
      <c r="FI1902" s="1"/>
      <c r="FJ1902" s="1"/>
      <c r="FK1902" s="1"/>
      <c r="FL1902" s="1"/>
      <c r="FM1902" s="1"/>
      <c r="FN1902" s="1"/>
      <c r="FO1902" s="1"/>
      <c r="FP1902" s="1"/>
      <c r="FQ1902" s="1"/>
      <c r="FR1902" s="1"/>
      <c r="FS1902" s="1"/>
      <c r="FT1902" s="1"/>
      <c r="FU1902" s="1"/>
      <c r="FV1902" s="1"/>
      <c r="FW1902" s="1"/>
      <c r="FX1902" s="1"/>
      <c r="FY1902" s="1"/>
      <c r="FZ1902" s="1"/>
      <c r="GA1902" s="1"/>
      <c r="GB1902" s="1"/>
      <c r="GC1902" s="1"/>
      <c r="GD1902" s="1"/>
      <c r="GE1902" s="1"/>
      <c r="GF1902" s="1"/>
      <c r="GG1902" s="1"/>
      <c r="GH1902" s="1"/>
      <c r="GI1902" s="1"/>
      <c r="GJ1902" s="1"/>
      <c r="GK1902" s="1"/>
      <c r="GL1902" s="1"/>
      <c r="GM1902" s="1"/>
      <c r="GN1902" s="1"/>
      <c r="GO1902" s="1"/>
      <c r="GP1902" s="1"/>
      <c r="GQ1902" s="1"/>
      <c r="GR1902" s="1"/>
      <c r="GS1902" s="1"/>
      <c r="GT1902" s="1"/>
      <c r="GU1902" s="1"/>
      <c r="GV1902" s="1"/>
      <c r="GW1902" s="1"/>
      <c r="GX1902" s="1"/>
      <c r="GY1902" s="1"/>
      <c r="GZ1902" s="1"/>
      <c r="HA1902" s="1"/>
      <c r="HB1902" s="1"/>
      <c r="HC1902" s="1"/>
      <c r="HD1902" s="1"/>
      <c r="HE1902" s="1"/>
      <c r="HF1902" s="1"/>
      <c r="HG1902" s="1"/>
      <c r="HH1902" s="1"/>
    </row>
    <row r="1903" spans="1:216" x14ac:dyDescent="0.3">
      <c r="A1903" s="3"/>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c r="EF1903" s="1"/>
      <c r="EG1903" s="1"/>
      <c r="EH1903" s="1"/>
      <c r="EI1903" s="1"/>
      <c r="EJ1903" s="1"/>
      <c r="EK1903" s="1"/>
      <c r="EL1903" s="1"/>
      <c r="EM1903" s="1"/>
      <c r="EN1903" s="1"/>
      <c r="EO1903" s="1"/>
      <c r="EP1903" s="1"/>
      <c r="EQ1903" s="1"/>
      <c r="ER1903" s="1"/>
      <c r="ES1903" s="1"/>
      <c r="ET1903" s="1"/>
      <c r="EU1903" s="1"/>
      <c r="EV1903" s="1"/>
      <c r="EW1903" s="1"/>
      <c r="EX1903" s="1"/>
      <c r="EY1903" s="1"/>
      <c r="EZ1903" s="1"/>
      <c r="FA1903" s="1"/>
      <c r="FB1903" s="1"/>
      <c r="FC1903" s="1"/>
      <c r="FD1903" s="1"/>
      <c r="FE1903" s="1"/>
      <c r="FF1903" s="1"/>
      <c r="FG1903" s="1"/>
      <c r="FH1903" s="1"/>
      <c r="FI1903" s="1"/>
      <c r="FJ1903" s="1"/>
      <c r="FK1903" s="1"/>
      <c r="FL1903" s="1"/>
      <c r="FM1903" s="1"/>
      <c r="FN1903" s="1"/>
      <c r="FO1903" s="1"/>
      <c r="FP1903" s="1"/>
      <c r="FQ1903" s="1"/>
      <c r="FR1903" s="1"/>
      <c r="FS1903" s="1"/>
      <c r="FT1903" s="1"/>
      <c r="FU1903" s="1"/>
      <c r="FV1903" s="1"/>
      <c r="FW1903" s="1"/>
      <c r="FX1903" s="1"/>
      <c r="FY1903" s="1"/>
      <c r="FZ1903" s="1"/>
      <c r="GA1903" s="1"/>
      <c r="GB1903" s="1"/>
      <c r="GC1903" s="1"/>
      <c r="GD1903" s="1"/>
      <c r="GE1903" s="1"/>
      <c r="GF1903" s="1"/>
      <c r="GG1903" s="1"/>
      <c r="GH1903" s="1"/>
      <c r="GI1903" s="1"/>
      <c r="GJ1903" s="1"/>
      <c r="GK1903" s="1"/>
      <c r="GL1903" s="1"/>
      <c r="GM1903" s="1"/>
      <c r="GN1903" s="1"/>
      <c r="GO1903" s="1"/>
      <c r="GP1903" s="1"/>
      <c r="GQ1903" s="1"/>
      <c r="GR1903" s="1"/>
      <c r="GS1903" s="1"/>
      <c r="GT1903" s="1"/>
      <c r="GU1903" s="1"/>
      <c r="GV1903" s="1"/>
      <c r="GW1903" s="1"/>
      <c r="GX1903" s="1"/>
      <c r="GY1903" s="1"/>
      <c r="GZ1903" s="1"/>
      <c r="HA1903" s="1"/>
      <c r="HB1903" s="1"/>
      <c r="HC1903" s="1"/>
      <c r="HD1903" s="1"/>
      <c r="HE1903" s="1"/>
      <c r="HF1903" s="1"/>
      <c r="HG1903" s="1"/>
      <c r="HH1903" s="1"/>
    </row>
    <row r="1904" spans="1:216" x14ac:dyDescent="0.3">
      <c r="A1904" s="3"/>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c r="EF1904" s="1"/>
      <c r="EG1904" s="1"/>
      <c r="EH1904" s="1"/>
      <c r="EI1904" s="1"/>
      <c r="EJ1904" s="1"/>
      <c r="EK1904" s="1"/>
      <c r="EL1904" s="1"/>
      <c r="EM1904" s="1"/>
      <c r="EN1904" s="1"/>
      <c r="EO1904" s="1"/>
      <c r="EP1904" s="1"/>
      <c r="EQ1904" s="1"/>
      <c r="ER1904" s="1"/>
      <c r="ES1904" s="1"/>
      <c r="ET1904" s="1"/>
      <c r="EU1904" s="1"/>
      <c r="EV1904" s="1"/>
      <c r="EW1904" s="1"/>
      <c r="EX1904" s="1"/>
      <c r="EY1904" s="1"/>
      <c r="EZ1904" s="1"/>
      <c r="FA1904" s="1"/>
      <c r="FB1904" s="1"/>
      <c r="FC1904" s="1"/>
      <c r="FD1904" s="1"/>
      <c r="FE1904" s="1"/>
      <c r="FF1904" s="1"/>
      <c r="FG1904" s="1"/>
      <c r="FH1904" s="1"/>
      <c r="FI1904" s="1"/>
      <c r="FJ1904" s="1"/>
      <c r="FK1904" s="1"/>
      <c r="FL1904" s="1"/>
      <c r="FM1904" s="1"/>
      <c r="FN1904" s="1"/>
      <c r="FO1904" s="1"/>
      <c r="FP1904" s="1"/>
      <c r="FQ1904" s="1"/>
      <c r="FR1904" s="1"/>
      <c r="FS1904" s="1"/>
      <c r="FT1904" s="1"/>
      <c r="FU1904" s="1"/>
      <c r="FV1904" s="1"/>
      <c r="FW1904" s="1"/>
      <c r="FX1904" s="1"/>
      <c r="FY1904" s="1"/>
      <c r="FZ1904" s="1"/>
      <c r="GA1904" s="1"/>
      <c r="GB1904" s="1"/>
      <c r="GC1904" s="1"/>
      <c r="GD1904" s="1"/>
      <c r="GE1904" s="1"/>
      <c r="GF1904" s="1"/>
      <c r="GG1904" s="1"/>
      <c r="GH1904" s="1"/>
      <c r="GI1904" s="1"/>
      <c r="GJ1904" s="1"/>
      <c r="GK1904" s="1"/>
      <c r="GL1904" s="1"/>
      <c r="GM1904" s="1"/>
      <c r="GN1904" s="1"/>
      <c r="GO1904" s="1"/>
      <c r="GP1904" s="1"/>
      <c r="GQ1904" s="1"/>
      <c r="GR1904" s="1"/>
      <c r="GS1904" s="1"/>
      <c r="GT1904" s="1"/>
      <c r="GU1904" s="1"/>
      <c r="GV1904" s="1"/>
      <c r="GW1904" s="1"/>
      <c r="GX1904" s="1"/>
      <c r="GY1904" s="1"/>
      <c r="GZ1904" s="1"/>
      <c r="HA1904" s="1"/>
      <c r="HB1904" s="1"/>
      <c r="HC1904" s="1"/>
      <c r="HD1904" s="1"/>
      <c r="HE1904" s="1"/>
      <c r="HF1904" s="1"/>
      <c r="HG1904" s="1"/>
      <c r="HH1904" s="1"/>
    </row>
    <row r="1905" spans="1:216" x14ac:dyDescent="0.3">
      <c r="A1905" s="3"/>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c r="EF1905" s="1"/>
      <c r="EG1905" s="1"/>
      <c r="EH1905" s="1"/>
      <c r="EI1905" s="1"/>
      <c r="EJ1905" s="1"/>
      <c r="EK1905" s="1"/>
      <c r="EL1905" s="1"/>
      <c r="EM1905" s="1"/>
      <c r="EN1905" s="1"/>
      <c r="EO1905" s="1"/>
      <c r="EP1905" s="1"/>
      <c r="EQ1905" s="1"/>
      <c r="ER1905" s="1"/>
      <c r="ES1905" s="1"/>
      <c r="ET1905" s="1"/>
      <c r="EU1905" s="1"/>
      <c r="EV1905" s="1"/>
      <c r="EW1905" s="1"/>
      <c r="EX1905" s="1"/>
      <c r="EY1905" s="1"/>
      <c r="EZ1905" s="1"/>
      <c r="FA1905" s="1"/>
      <c r="FB1905" s="1"/>
      <c r="FC1905" s="1"/>
      <c r="FD1905" s="1"/>
      <c r="FE1905" s="1"/>
      <c r="FF1905" s="1"/>
      <c r="FG1905" s="1"/>
      <c r="FH1905" s="1"/>
      <c r="FI1905" s="1"/>
      <c r="FJ1905" s="1"/>
      <c r="FK1905" s="1"/>
      <c r="FL1905" s="1"/>
      <c r="FM1905" s="1"/>
      <c r="FN1905" s="1"/>
      <c r="FO1905" s="1"/>
      <c r="FP1905" s="1"/>
      <c r="FQ1905" s="1"/>
      <c r="FR1905" s="1"/>
      <c r="FS1905" s="1"/>
      <c r="FT1905" s="1"/>
      <c r="FU1905" s="1"/>
      <c r="FV1905" s="1"/>
      <c r="FW1905" s="1"/>
      <c r="FX1905" s="1"/>
      <c r="FY1905" s="1"/>
      <c r="FZ1905" s="1"/>
      <c r="GA1905" s="1"/>
      <c r="GB1905" s="1"/>
      <c r="GC1905" s="1"/>
      <c r="GD1905" s="1"/>
      <c r="GE1905" s="1"/>
      <c r="GF1905" s="1"/>
      <c r="GG1905" s="1"/>
      <c r="GH1905" s="1"/>
      <c r="GI1905" s="1"/>
      <c r="GJ1905" s="1"/>
      <c r="GK1905" s="1"/>
      <c r="GL1905" s="1"/>
      <c r="GM1905" s="1"/>
      <c r="GN1905" s="1"/>
      <c r="GO1905" s="1"/>
      <c r="GP1905" s="1"/>
      <c r="GQ1905" s="1"/>
      <c r="GR1905" s="1"/>
      <c r="GS1905" s="1"/>
      <c r="GT1905" s="1"/>
      <c r="GU1905" s="1"/>
      <c r="GV1905" s="1"/>
      <c r="GW1905" s="1"/>
      <c r="GX1905" s="1"/>
      <c r="GY1905" s="1"/>
      <c r="GZ1905" s="1"/>
      <c r="HA1905" s="1"/>
      <c r="HB1905" s="1"/>
      <c r="HC1905" s="1"/>
      <c r="HD1905" s="1"/>
      <c r="HE1905" s="1"/>
      <c r="HF1905" s="1"/>
      <c r="HG1905" s="1"/>
      <c r="HH1905" s="1"/>
    </row>
    <row r="1906" spans="1:216" x14ac:dyDescent="0.3">
      <c r="A1906" s="3"/>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c r="EF1906" s="1"/>
      <c r="EG1906" s="1"/>
      <c r="EH1906" s="1"/>
      <c r="EI1906" s="1"/>
      <c r="EJ1906" s="1"/>
      <c r="EK1906" s="1"/>
      <c r="EL1906" s="1"/>
      <c r="EM1906" s="1"/>
      <c r="EN1906" s="1"/>
      <c r="EO1906" s="1"/>
      <c r="EP1906" s="1"/>
      <c r="EQ1906" s="1"/>
      <c r="ER1906" s="1"/>
      <c r="ES1906" s="1"/>
      <c r="ET1906" s="1"/>
      <c r="EU1906" s="1"/>
      <c r="EV1906" s="1"/>
      <c r="EW1906" s="1"/>
      <c r="EX1906" s="1"/>
      <c r="EY1906" s="1"/>
      <c r="EZ1906" s="1"/>
      <c r="FA1906" s="1"/>
      <c r="FB1906" s="1"/>
      <c r="FC1906" s="1"/>
      <c r="FD1906" s="1"/>
      <c r="FE1906" s="1"/>
      <c r="FF1906" s="1"/>
      <c r="FG1906" s="1"/>
      <c r="FH1906" s="1"/>
      <c r="FI1906" s="1"/>
      <c r="FJ1906" s="1"/>
      <c r="FK1906" s="1"/>
      <c r="FL1906" s="1"/>
      <c r="FM1906" s="1"/>
      <c r="FN1906" s="1"/>
      <c r="FO1906" s="1"/>
      <c r="FP1906" s="1"/>
      <c r="FQ1906" s="1"/>
      <c r="FR1906" s="1"/>
      <c r="FS1906" s="1"/>
      <c r="FT1906" s="1"/>
      <c r="FU1906" s="1"/>
      <c r="FV1906" s="1"/>
      <c r="FW1906" s="1"/>
      <c r="FX1906" s="1"/>
      <c r="FY1906" s="1"/>
      <c r="FZ1906" s="1"/>
      <c r="GA1906" s="1"/>
      <c r="GB1906" s="1"/>
      <c r="GC1906" s="1"/>
      <c r="GD1906" s="1"/>
      <c r="GE1906" s="1"/>
      <c r="GF1906" s="1"/>
      <c r="GG1906" s="1"/>
      <c r="GH1906" s="1"/>
      <c r="GI1906" s="1"/>
      <c r="GJ1906" s="1"/>
      <c r="GK1906" s="1"/>
      <c r="GL1906" s="1"/>
      <c r="GM1906" s="1"/>
      <c r="GN1906" s="1"/>
      <c r="GO1906" s="1"/>
      <c r="GP1906" s="1"/>
      <c r="GQ1906" s="1"/>
      <c r="GR1906" s="1"/>
      <c r="GS1906" s="1"/>
      <c r="GT1906" s="1"/>
      <c r="GU1906" s="1"/>
      <c r="GV1906" s="1"/>
      <c r="GW1906" s="1"/>
      <c r="GX1906" s="1"/>
      <c r="GY1906" s="1"/>
      <c r="GZ1906" s="1"/>
      <c r="HA1906" s="1"/>
      <c r="HB1906" s="1"/>
      <c r="HC1906" s="1"/>
      <c r="HD1906" s="1"/>
      <c r="HE1906" s="1"/>
      <c r="HF1906" s="1"/>
      <c r="HG1906" s="1"/>
      <c r="HH1906" s="1"/>
    </row>
    <row r="1907" spans="1:216" x14ac:dyDescent="0.3">
      <c r="A1907" s="3"/>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c r="EF1907" s="1"/>
      <c r="EG1907" s="1"/>
      <c r="EH1907" s="1"/>
      <c r="EI1907" s="1"/>
      <c r="EJ1907" s="1"/>
      <c r="EK1907" s="1"/>
      <c r="EL1907" s="1"/>
      <c r="EM1907" s="1"/>
      <c r="EN1907" s="1"/>
      <c r="EO1907" s="1"/>
      <c r="EP1907" s="1"/>
      <c r="EQ1907" s="1"/>
      <c r="ER1907" s="1"/>
      <c r="ES1907" s="1"/>
      <c r="ET1907" s="1"/>
      <c r="EU1907" s="1"/>
      <c r="EV1907" s="1"/>
      <c r="EW1907" s="1"/>
      <c r="EX1907" s="1"/>
      <c r="EY1907" s="1"/>
      <c r="EZ1907" s="1"/>
      <c r="FA1907" s="1"/>
      <c r="FB1907" s="1"/>
      <c r="FC1907" s="1"/>
      <c r="FD1907" s="1"/>
      <c r="FE1907" s="1"/>
      <c r="FF1907" s="1"/>
      <c r="FG1907" s="1"/>
      <c r="FH1907" s="1"/>
      <c r="FI1907" s="1"/>
      <c r="FJ1907" s="1"/>
      <c r="FK1907" s="1"/>
      <c r="FL1907" s="1"/>
      <c r="FM1907" s="1"/>
      <c r="FN1907" s="1"/>
      <c r="FO1907" s="1"/>
      <c r="FP1907" s="1"/>
      <c r="FQ1907" s="1"/>
      <c r="FR1907" s="1"/>
      <c r="FS1907" s="1"/>
      <c r="FT1907" s="1"/>
      <c r="FU1907" s="1"/>
      <c r="FV1907" s="1"/>
      <c r="FW1907" s="1"/>
      <c r="FX1907" s="1"/>
      <c r="FY1907" s="1"/>
      <c r="FZ1907" s="1"/>
      <c r="GA1907" s="1"/>
      <c r="GB1907" s="1"/>
      <c r="GC1907" s="1"/>
      <c r="GD1907" s="1"/>
      <c r="GE1907" s="1"/>
      <c r="GF1907" s="1"/>
      <c r="GG1907" s="1"/>
      <c r="GH1907" s="1"/>
      <c r="GI1907" s="1"/>
      <c r="GJ1907" s="1"/>
      <c r="GK1907" s="1"/>
      <c r="GL1907" s="1"/>
      <c r="GM1907" s="1"/>
      <c r="GN1907" s="1"/>
      <c r="GO1907" s="1"/>
      <c r="GP1907" s="1"/>
      <c r="GQ1907" s="1"/>
      <c r="GR1907" s="1"/>
      <c r="GS1907" s="1"/>
      <c r="GT1907" s="1"/>
      <c r="GU1907" s="1"/>
      <c r="GV1907" s="1"/>
      <c r="GW1907" s="1"/>
      <c r="GX1907" s="1"/>
      <c r="GY1907" s="1"/>
      <c r="GZ1907" s="1"/>
      <c r="HA1907" s="1"/>
      <c r="HB1907" s="1"/>
      <c r="HC1907" s="1"/>
      <c r="HD1907" s="1"/>
      <c r="HE1907" s="1"/>
      <c r="HF1907" s="1"/>
      <c r="HG1907" s="1"/>
      <c r="HH1907" s="1"/>
    </row>
    <row r="1908" spans="1:216" x14ac:dyDescent="0.3">
      <c r="A1908" s="3"/>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c r="EF1908" s="1"/>
      <c r="EG1908" s="1"/>
      <c r="EH1908" s="1"/>
      <c r="EI1908" s="1"/>
      <c r="EJ1908" s="1"/>
      <c r="EK1908" s="1"/>
      <c r="EL1908" s="1"/>
      <c r="EM1908" s="1"/>
      <c r="EN1908" s="1"/>
      <c r="EO1908" s="1"/>
      <c r="EP1908" s="1"/>
      <c r="EQ1908" s="1"/>
      <c r="ER1908" s="1"/>
      <c r="ES1908" s="1"/>
      <c r="ET1908" s="1"/>
      <c r="EU1908" s="1"/>
      <c r="EV1908" s="1"/>
      <c r="EW1908" s="1"/>
      <c r="EX1908" s="1"/>
      <c r="EY1908" s="1"/>
      <c r="EZ1908" s="1"/>
      <c r="FA1908" s="1"/>
      <c r="FB1908" s="1"/>
      <c r="FC1908" s="1"/>
      <c r="FD1908" s="1"/>
      <c r="FE1908" s="1"/>
      <c r="FF1908" s="1"/>
      <c r="FG1908" s="1"/>
      <c r="FH1908" s="1"/>
      <c r="FI1908" s="1"/>
      <c r="FJ1908" s="1"/>
      <c r="FK1908" s="1"/>
      <c r="FL1908" s="1"/>
      <c r="FM1908" s="1"/>
      <c r="FN1908" s="1"/>
      <c r="FO1908" s="1"/>
      <c r="FP1908" s="1"/>
      <c r="FQ1908" s="1"/>
      <c r="FR1908" s="1"/>
      <c r="FS1908" s="1"/>
      <c r="FT1908" s="1"/>
      <c r="FU1908" s="1"/>
      <c r="FV1908" s="1"/>
      <c r="FW1908" s="1"/>
      <c r="FX1908" s="1"/>
      <c r="FY1908" s="1"/>
      <c r="FZ1908" s="1"/>
      <c r="GA1908" s="1"/>
      <c r="GB1908" s="1"/>
      <c r="GC1908" s="1"/>
      <c r="GD1908" s="1"/>
      <c r="GE1908" s="1"/>
      <c r="GF1908" s="1"/>
      <c r="GG1908" s="1"/>
      <c r="GH1908" s="1"/>
      <c r="GI1908" s="1"/>
      <c r="GJ1908" s="1"/>
      <c r="GK1908" s="1"/>
      <c r="GL1908" s="1"/>
      <c r="GM1908" s="1"/>
      <c r="GN1908" s="1"/>
      <c r="GO1908" s="1"/>
      <c r="GP1908" s="1"/>
      <c r="GQ1908" s="1"/>
      <c r="GR1908" s="1"/>
      <c r="GS1908" s="1"/>
      <c r="GT1908" s="1"/>
      <c r="GU1908" s="1"/>
      <c r="GV1908" s="1"/>
      <c r="GW1908" s="1"/>
      <c r="GX1908" s="1"/>
      <c r="GY1908" s="1"/>
      <c r="GZ1908" s="1"/>
      <c r="HA1908" s="1"/>
      <c r="HB1908" s="1"/>
      <c r="HC1908" s="1"/>
      <c r="HD1908" s="1"/>
      <c r="HE1908" s="1"/>
      <c r="HF1908" s="1"/>
      <c r="HG1908" s="1"/>
      <c r="HH1908" s="1"/>
    </row>
    <row r="1909" spans="1:216" x14ac:dyDescent="0.3">
      <c r="A1909" s="3"/>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c r="EF1909" s="1"/>
      <c r="EG1909" s="1"/>
      <c r="EH1909" s="1"/>
      <c r="EI1909" s="1"/>
      <c r="EJ1909" s="1"/>
      <c r="EK1909" s="1"/>
      <c r="EL1909" s="1"/>
      <c r="EM1909" s="1"/>
      <c r="EN1909" s="1"/>
      <c r="EO1909" s="1"/>
      <c r="EP1909" s="1"/>
      <c r="EQ1909" s="1"/>
      <c r="ER1909" s="1"/>
      <c r="ES1909" s="1"/>
      <c r="ET1909" s="1"/>
      <c r="EU1909" s="1"/>
      <c r="EV1909" s="1"/>
      <c r="EW1909" s="1"/>
      <c r="EX1909" s="1"/>
      <c r="EY1909" s="1"/>
      <c r="EZ1909" s="1"/>
      <c r="FA1909" s="1"/>
      <c r="FB1909" s="1"/>
      <c r="FC1909" s="1"/>
      <c r="FD1909" s="1"/>
      <c r="FE1909" s="1"/>
      <c r="FF1909" s="1"/>
      <c r="FG1909" s="1"/>
      <c r="FH1909" s="1"/>
      <c r="FI1909" s="1"/>
      <c r="FJ1909" s="1"/>
      <c r="FK1909" s="1"/>
      <c r="FL1909" s="1"/>
      <c r="FM1909" s="1"/>
      <c r="FN1909" s="1"/>
      <c r="FO1909" s="1"/>
      <c r="FP1909" s="1"/>
      <c r="FQ1909" s="1"/>
      <c r="FR1909" s="1"/>
      <c r="FS1909" s="1"/>
      <c r="FT1909" s="1"/>
      <c r="FU1909" s="1"/>
      <c r="FV1909" s="1"/>
      <c r="FW1909" s="1"/>
      <c r="FX1909" s="1"/>
      <c r="FY1909" s="1"/>
      <c r="FZ1909" s="1"/>
      <c r="GA1909" s="1"/>
      <c r="GB1909" s="1"/>
      <c r="GC1909" s="1"/>
      <c r="GD1909" s="1"/>
      <c r="GE1909" s="1"/>
      <c r="GF1909" s="1"/>
      <c r="GG1909" s="1"/>
      <c r="GH1909" s="1"/>
      <c r="GI1909" s="1"/>
      <c r="GJ1909" s="1"/>
      <c r="GK1909" s="1"/>
      <c r="GL1909" s="1"/>
      <c r="GM1909" s="1"/>
      <c r="GN1909" s="1"/>
      <c r="GO1909" s="1"/>
      <c r="GP1909" s="1"/>
      <c r="GQ1909" s="1"/>
      <c r="GR1909" s="1"/>
      <c r="GS1909" s="1"/>
      <c r="GT1909" s="1"/>
      <c r="GU1909" s="1"/>
      <c r="GV1909" s="1"/>
      <c r="GW1909" s="1"/>
      <c r="GX1909" s="1"/>
      <c r="GY1909" s="1"/>
      <c r="GZ1909" s="1"/>
      <c r="HA1909" s="1"/>
      <c r="HB1909" s="1"/>
      <c r="HC1909" s="1"/>
      <c r="HD1909" s="1"/>
      <c r="HE1909" s="1"/>
      <c r="HF1909" s="1"/>
      <c r="HG1909" s="1"/>
      <c r="HH1909" s="1"/>
    </row>
    <row r="1910" spans="1:216" x14ac:dyDescent="0.3">
      <c r="A1910" s="3"/>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c r="EF1910" s="1"/>
      <c r="EG1910" s="1"/>
      <c r="EH1910" s="1"/>
      <c r="EI1910" s="1"/>
      <c r="EJ1910" s="1"/>
      <c r="EK1910" s="1"/>
      <c r="EL1910" s="1"/>
      <c r="EM1910" s="1"/>
      <c r="EN1910" s="1"/>
      <c r="EO1910" s="1"/>
      <c r="EP1910" s="1"/>
      <c r="EQ1910" s="1"/>
      <c r="ER1910" s="1"/>
      <c r="ES1910" s="1"/>
      <c r="ET1910" s="1"/>
      <c r="EU1910" s="1"/>
      <c r="EV1910" s="1"/>
      <c r="EW1910" s="1"/>
      <c r="EX1910" s="1"/>
      <c r="EY1910" s="1"/>
      <c r="EZ1910" s="1"/>
      <c r="FA1910" s="1"/>
      <c r="FB1910" s="1"/>
      <c r="FC1910" s="1"/>
      <c r="FD1910" s="1"/>
      <c r="FE1910" s="1"/>
      <c r="FF1910" s="1"/>
      <c r="FG1910" s="1"/>
      <c r="FH1910" s="1"/>
      <c r="FI1910" s="1"/>
      <c r="FJ1910" s="1"/>
      <c r="FK1910" s="1"/>
      <c r="FL1910" s="1"/>
      <c r="FM1910" s="1"/>
      <c r="FN1910" s="1"/>
      <c r="FO1910" s="1"/>
      <c r="FP1910" s="1"/>
      <c r="FQ1910" s="1"/>
      <c r="FR1910" s="1"/>
      <c r="FS1910" s="1"/>
      <c r="FT1910" s="1"/>
      <c r="FU1910" s="1"/>
      <c r="FV1910" s="1"/>
      <c r="FW1910" s="1"/>
      <c r="FX1910" s="1"/>
      <c r="FY1910" s="1"/>
      <c r="FZ1910" s="1"/>
      <c r="GA1910" s="1"/>
      <c r="GB1910" s="1"/>
      <c r="GC1910" s="1"/>
      <c r="GD1910" s="1"/>
      <c r="GE1910" s="1"/>
      <c r="GF1910" s="1"/>
      <c r="GG1910" s="1"/>
      <c r="GH1910" s="1"/>
      <c r="GI1910" s="1"/>
      <c r="GJ1910" s="1"/>
      <c r="GK1910" s="1"/>
      <c r="GL1910" s="1"/>
      <c r="GM1910" s="1"/>
      <c r="GN1910" s="1"/>
      <c r="GO1910" s="1"/>
      <c r="GP1910" s="1"/>
      <c r="GQ1910" s="1"/>
      <c r="GR1910" s="1"/>
      <c r="GS1910" s="1"/>
      <c r="GT1910" s="1"/>
      <c r="GU1910" s="1"/>
      <c r="GV1910" s="1"/>
      <c r="GW1910" s="1"/>
      <c r="GX1910" s="1"/>
      <c r="GY1910" s="1"/>
      <c r="GZ1910" s="1"/>
      <c r="HA1910" s="1"/>
      <c r="HB1910" s="1"/>
      <c r="HC1910" s="1"/>
      <c r="HD1910" s="1"/>
      <c r="HE1910" s="1"/>
      <c r="HF1910" s="1"/>
      <c r="HG1910" s="1"/>
      <c r="HH1910" s="1"/>
    </row>
    <row r="1911" spans="1:216" x14ac:dyDescent="0.3">
      <c r="A1911" s="3"/>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c r="EF1911" s="1"/>
      <c r="EG1911" s="1"/>
      <c r="EH1911" s="1"/>
      <c r="EI1911" s="1"/>
      <c r="EJ1911" s="1"/>
      <c r="EK1911" s="1"/>
      <c r="EL1911" s="1"/>
      <c r="EM1911" s="1"/>
      <c r="EN1911" s="1"/>
      <c r="EO1911" s="1"/>
      <c r="EP1911" s="1"/>
      <c r="EQ1911" s="1"/>
      <c r="ER1911" s="1"/>
      <c r="ES1911" s="1"/>
      <c r="ET1911" s="1"/>
      <c r="EU1911" s="1"/>
      <c r="EV1911" s="1"/>
      <c r="EW1911" s="1"/>
      <c r="EX1911" s="1"/>
      <c r="EY1911" s="1"/>
      <c r="EZ1911" s="1"/>
      <c r="FA1911" s="1"/>
      <c r="FB1911" s="1"/>
      <c r="FC1911" s="1"/>
      <c r="FD1911" s="1"/>
      <c r="FE1911" s="1"/>
      <c r="FF1911" s="1"/>
      <c r="FG1911" s="1"/>
      <c r="FH1911" s="1"/>
      <c r="FI1911" s="1"/>
      <c r="FJ1911" s="1"/>
      <c r="FK1911" s="1"/>
      <c r="FL1911" s="1"/>
      <c r="FM1911" s="1"/>
      <c r="FN1911" s="1"/>
      <c r="FO1911" s="1"/>
      <c r="FP1911" s="1"/>
      <c r="FQ1911" s="1"/>
      <c r="FR1911" s="1"/>
      <c r="FS1911" s="1"/>
      <c r="FT1911" s="1"/>
      <c r="FU1911" s="1"/>
      <c r="FV1911" s="1"/>
      <c r="FW1911" s="1"/>
      <c r="FX1911" s="1"/>
      <c r="FY1911" s="1"/>
      <c r="FZ1911" s="1"/>
      <c r="GA1911" s="1"/>
      <c r="GB1911" s="1"/>
      <c r="GC1911" s="1"/>
      <c r="GD1911" s="1"/>
      <c r="GE1911" s="1"/>
      <c r="GF1911" s="1"/>
      <c r="GG1911" s="1"/>
      <c r="GH1911" s="1"/>
      <c r="GI1911" s="1"/>
      <c r="GJ1911" s="1"/>
      <c r="GK1911" s="1"/>
      <c r="GL1911" s="1"/>
      <c r="GM1911" s="1"/>
      <c r="GN1911" s="1"/>
      <c r="GO1911" s="1"/>
      <c r="GP1911" s="1"/>
      <c r="GQ1911" s="1"/>
      <c r="GR1911" s="1"/>
      <c r="GS1911" s="1"/>
      <c r="GT1911" s="1"/>
      <c r="GU1911" s="1"/>
      <c r="GV1911" s="1"/>
      <c r="GW1911" s="1"/>
      <c r="GX1911" s="1"/>
      <c r="GY1911" s="1"/>
      <c r="GZ1911" s="1"/>
      <c r="HA1911" s="1"/>
      <c r="HB1911" s="1"/>
      <c r="HC1911" s="1"/>
      <c r="HD1911" s="1"/>
      <c r="HE1911" s="1"/>
      <c r="HF1911" s="1"/>
      <c r="HG1911" s="1"/>
      <c r="HH1911" s="1"/>
    </row>
    <row r="1912" spans="1:216" x14ac:dyDescent="0.3">
      <c r="A1912" s="3"/>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c r="EF1912" s="1"/>
      <c r="EG1912" s="1"/>
      <c r="EH1912" s="1"/>
      <c r="EI1912" s="1"/>
      <c r="EJ1912" s="1"/>
      <c r="EK1912" s="1"/>
      <c r="EL1912" s="1"/>
      <c r="EM1912" s="1"/>
      <c r="EN1912" s="1"/>
      <c r="EO1912" s="1"/>
      <c r="EP1912" s="1"/>
      <c r="EQ1912" s="1"/>
      <c r="ER1912" s="1"/>
      <c r="ES1912" s="1"/>
      <c r="ET1912" s="1"/>
      <c r="EU1912" s="1"/>
      <c r="EV1912" s="1"/>
      <c r="EW1912" s="1"/>
      <c r="EX1912" s="1"/>
      <c r="EY1912" s="1"/>
      <c r="EZ1912" s="1"/>
      <c r="FA1912" s="1"/>
      <c r="FB1912" s="1"/>
      <c r="FC1912" s="1"/>
      <c r="FD1912" s="1"/>
      <c r="FE1912" s="1"/>
      <c r="FF1912" s="1"/>
      <c r="FG1912" s="1"/>
      <c r="FH1912" s="1"/>
      <c r="FI1912" s="1"/>
      <c r="FJ1912" s="1"/>
      <c r="FK1912" s="1"/>
      <c r="FL1912" s="1"/>
      <c r="FM1912" s="1"/>
      <c r="FN1912" s="1"/>
      <c r="FO1912" s="1"/>
      <c r="FP1912" s="1"/>
      <c r="FQ1912" s="1"/>
      <c r="FR1912" s="1"/>
      <c r="FS1912" s="1"/>
      <c r="FT1912" s="1"/>
      <c r="FU1912" s="1"/>
      <c r="FV1912" s="1"/>
      <c r="FW1912" s="1"/>
      <c r="FX1912" s="1"/>
      <c r="FY1912" s="1"/>
      <c r="FZ1912" s="1"/>
      <c r="GA1912" s="1"/>
      <c r="GB1912" s="1"/>
      <c r="GC1912" s="1"/>
      <c r="GD1912" s="1"/>
      <c r="GE1912" s="1"/>
      <c r="GF1912" s="1"/>
      <c r="GG1912" s="1"/>
      <c r="GH1912" s="1"/>
      <c r="GI1912" s="1"/>
      <c r="GJ1912" s="1"/>
      <c r="GK1912" s="1"/>
      <c r="GL1912" s="1"/>
      <c r="GM1912" s="1"/>
      <c r="GN1912" s="1"/>
      <c r="GO1912" s="1"/>
      <c r="GP1912" s="1"/>
      <c r="GQ1912" s="1"/>
      <c r="GR1912" s="1"/>
      <c r="GS1912" s="1"/>
      <c r="GT1912" s="1"/>
      <c r="GU1912" s="1"/>
      <c r="GV1912" s="1"/>
      <c r="GW1912" s="1"/>
      <c r="GX1912" s="1"/>
      <c r="GY1912" s="1"/>
      <c r="GZ1912" s="1"/>
      <c r="HA1912" s="1"/>
      <c r="HB1912" s="1"/>
      <c r="HC1912" s="1"/>
      <c r="HD1912" s="1"/>
      <c r="HE1912" s="1"/>
      <c r="HF1912" s="1"/>
      <c r="HG1912" s="1"/>
      <c r="HH1912" s="1"/>
    </row>
    <row r="1913" spans="1:216" x14ac:dyDescent="0.3">
      <c r="A1913" s="3"/>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c r="EF1913" s="1"/>
      <c r="EG1913" s="1"/>
      <c r="EH1913" s="1"/>
      <c r="EI1913" s="1"/>
      <c r="EJ1913" s="1"/>
      <c r="EK1913" s="1"/>
      <c r="EL1913" s="1"/>
      <c r="EM1913" s="1"/>
      <c r="EN1913" s="1"/>
      <c r="EO1913" s="1"/>
      <c r="EP1913" s="1"/>
      <c r="EQ1913" s="1"/>
      <c r="ER1913" s="1"/>
      <c r="ES1913" s="1"/>
      <c r="ET1913" s="1"/>
      <c r="EU1913" s="1"/>
      <c r="EV1913" s="1"/>
      <c r="EW1913" s="1"/>
      <c r="EX1913" s="1"/>
      <c r="EY1913" s="1"/>
      <c r="EZ1913" s="1"/>
      <c r="FA1913" s="1"/>
      <c r="FB1913" s="1"/>
      <c r="FC1913" s="1"/>
      <c r="FD1913" s="1"/>
      <c r="FE1913" s="1"/>
      <c r="FF1913" s="1"/>
      <c r="FG1913" s="1"/>
      <c r="FH1913" s="1"/>
      <c r="FI1913" s="1"/>
      <c r="FJ1913" s="1"/>
      <c r="FK1913" s="1"/>
      <c r="FL1913" s="1"/>
      <c r="FM1913" s="1"/>
      <c r="FN1913" s="1"/>
      <c r="FO1913" s="1"/>
      <c r="FP1913" s="1"/>
      <c r="FQ1913" s="1"/>
      <c r="FR1913" s="1"/>
      <c r="FS1913" s="1"/>
      <c r="FT1913" s="1"/>
      <c r="FU1913" s="1"/>
      <c r="FV1913" s="1"/>
      <c r="FW1913" s="1"/>
      <c r="FX1913" s="1"/>
      <c r="FY1913" s="1"/>
      <c r="FZ1913" s="1"/>
      <c r="GA1913" s="1"/>
      <c r="GB1913" s="1"/>
      <c r="GC1913" s="1"/>
      <c r="GD1913" s="1"/>
      <c r="GE1913" s="1"/>
      <c r="GF1913" s="1"/>
      <c r="GG1913" s="1"/>
      <c r="GH1913" s="1"/>
      <c r="GI1913" s="1"/>
      <c r="GJ1913" s="1"/>
      <c r="GK1913" s="1"/>
      <c r="GL1913" s="1"/>
      <c r="GM1913" s="1"/>
      <c r="GN1913" s="1"/>
      <c r="GO1913" s="1"/>
      <c r="GP1913" s="1"/>
      <c r="GQ1913" s="1"/>
      <c r="GR1913" s="1"/>
      <c r="GS1913" s="1"/>
      <c r="GT1913" s="1"/>
      <c r="GU1913" s="1"/>
      <c r="GV1913" s="1"/>
      <c r="GW1913" s="1"/>
      <c r="GX1913" s="1"/>
      <c r="GY1913" s="1"/>
      <c r="GZ1913" s="1"/>
      <c r="HA1913" s="1"/>
      <c r="HB1913" s="1"/>
      <c r="HC1913" s="1"/>
      <c r="HD1913" s="1"/>
      <c r="HE1913" s="1"/>
      <c r="HF1913" s="1"/>
      <c r="HG1913" s="1"/>
      <c r="HH1913" s="1"/>
    </row>
    <row r="1914" spans="1:216" x14ac:dyDescent="0.3">
      <c r="A1914" s="3"/>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c r="EF1914" s="1"/>
      <c r="EG1914" s="1"/>
      <c r="EH1914" s="1"/>
      <c r="EI1914" s="1"/>
      <c r="EJ1914" s="1"/>
      <c r="EK1914" s="1"/>
      <c r="EL1914" s="1"/>
      <c r="EM1914" s="1"/>
      <c r="EN1914" s="1"/>
      <c r="EO1914" s="1"/>
      <c r="EP1914" s="1"/>
      <c r="EQ1914" s="1"/>
      <c r="ER1914" s="1"/>
      <c r="ES1914" s="1"/>
      <c r="ET1914" s="1"/>
      <c r="EU1914" s="1"/>
      <c r="EV1914" s="1"/>
      <c r="EW1914" s="1"/>
      <c r="EX1914" s="1"/>
      <c r="EY1914" s="1"/>
      <c r="EZ1914" s="1"/>
      <c r="FA1914" s="1"/>
      <c r="FB1914" s="1"/>
      <c r="FC1914" s="1"/>
      <c r="FD1914" s="1"/>
      <c r="FE1914" s="1"/>
      <c r="FF1914" s="1"/>
      <c r="FG1914" s="1"/>
      <c r="FH1914" s="1"/>
      <c r="FI1914" s="1"/>
      <c r="FJ1914" s="1"/>
      <c r="FK1914" s="1"/>
      <c r="FL1914" s="1"/>
      <c r="FM1914" s="1"/>
      <c r="FN1914" s="1"/>
      <c r="FO1914" s="1"/>
      <c r="FP1914" s="1"/>
      <c r="FQ1914" s="1"/>
      <c r="FR1914" s="1"/>
      <c r="FS1914" s="1"/>
      <c r="FT1914" s="1"/>
      <c r="FU1914" s="1"/>
      <c r="FV1914" s="1"/>
      <c r="FW1914" s="1"/>
      <c r="FX1914" s="1"/>
      <c r="FY1914" s="1"/>
      <c r="FZ1914" s="1"/>
      <c r="GA1914" s="1"/>
      <c r="GB1914" s="1"/>
      <c r="GC1914" s="1"/>
      <c r="GD1914" s="1"/>
      <c r="GE1914" s="1"/>
      <c r="GF1914" s="1"/>
      <c r="GG1914" s="1"/>
      <c r="GH1914" s="1"/>
      <c r="GI1914" s="1"/>
      <c r="GJ1914" s="1"/>
      <c r="GK1914" s="1"/>
      <c r="GL1914" s="1"/>
      <c r="GM1914" s="1"/>
      <c r="GN1914" s="1"/>
      <c r="GO1914" s="1"/>
      <c r="GP1914" s="1"/>
      <c r="GQ1914" s="1"/>
      <c r="GR1914" s="1"/>
      <c r="GS1914" s="1"/>
      <c r="GT1914" s="1"/>
      <c r="GU1914" s="1"/>
      <c r="GV1914" s="1"/>
      <c r="GW1914" s="1"/>
      <c r="GX1914" s="1"/>
      <c r="GY1914" s="1"/>
      <c r="GZ1914" s="1"/>
      <c r="HA1914" s="1"/>
      <c r="HB1914" s="1"/>
      <c r="HC1914" s="1"/>
      <c r="HD1914" s="1"/>
      <c r="HE1914" s="1"/>
      <c r="HF1914" s="1"/>
      <c r="HG1914" s="1"/>
      <c r="HH1914" s="1"/>
    </row>
    <row r="1915" spans="1:216" x14ac:dyDescent="0.3">
      <c r="A1915" s="3"/>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c r="EF1915" s="1"/>
      <c r="EG1915" s="1"/>
      <c r="EH1915" s="1"/>
      <c r="EI1915" s="1"/>
      <c r="EJ1915" s="1"/>
      <c r="EK1915" s="1"/>
      <c r="EL1915" s="1"/>
      <c r="EM1915" s="1"/>
      <c r="EN1915" s="1"/>
      <c r="EO1915" s="1"/>
      <c r="EP1915" s="1"/>
      <c r="EQ1915" s="1"/>
      <c r="ER1915" s="1"/>
      <c r="ES1915" s="1"/>
      <c r="ET1915" s="1"/>
      <c r="EU1915" s="1"/>
      <c r="EV1915" s="1"/>
      <c r="EW1915" s="1"/>
      <c r="EX1915" s="1"/>
      <c r="EY1915" s="1"/>
      <c r="EZ1915" s="1"/>
      <c r="FA1915" s="1"/>
      <c r="FB1915" s="1"/>
      <c r="FC1915" s="1"/>
      <c r="FD1915" s="1"/>
      <c r="FE1915" s="1"/>
      <c r="FF1915" s="1"/>
      <c r="FG1915" s="1"/>
      <c r="FH1915" s="1"/>
      <c r="FI1915" s="1"/>
      <c r="FJ1915" s="1"/>
      <c r="FK1915" s="1"/>
      <c r="FL1915" s="1"/>
      <c r="FM1915" s="1"/>
      <c r="FN1915" s="1"/>
      <c r="FO1915" s="1"/>
      <c r="FP1915" s="1"/>
      <c r="FQ1915" s="1"/>
      <c r="FR1915" s="1"/>
      <c r="FS1915" s="1"/>
      <c r="FT1915" s="1"/>
      <c r="FU1915" s="1"/>
      <c r="FV1915" s="1"/>
      <c r="FW1915" s="1"/>
      <c r="FX1915" s="1"/>
      <c r="FY1915" s="1"/>
      <c r="FZ1915" s="1"/>
      <c r="GA1915" s="1"/>
      <c r="GB1915" s="1"/>
      <c r="GC1915" s="1"/>
      <c r="GD1915" s="1"/>
      <c r="GE1915" s="1"/>
      <c r="GF1915" s="1"/>
      <c r="GG1915" s="1"/>
      <c r="GH1915" s="1"/>
      <c r="GI1915" s="1"/>
      <c r="GJ1915" s="1"/>
      <c r="GK1915" s="1"/>
      <c r="GL1915" s="1"/>
      <c r="GM1915" s="1"/>
      <c r="GN1915" s="1"/>
      <c r="GO1915" s="1"/>
      <c r="GP1915" s="1"/>
      <c r="GQ1915" s="1"/>
      <c r="GR1915" s="1"/>
      <c r="GS1915" s="1"/>
      <c r="GT1915" s="1"/>
      <c r="GU1915" s="1"/>
      <c r="GV1915" s="1"/>
      <c r="GW1915" s="1"/>
      <c r="GX1915" s="1"/>
      <c r="GY1915" s="1"/>
      <c r="GZ1915" s="1"/>
      <c r="HA1915" s="1"/>
      <c r="HB1915" s="1"/>
      <c r="HC1915" s="1"/>
      <c r="HD1915" s="1"/>
      <c r="HE1915" s="1"/>
      <c r="HF1915" s="1"/>
      <c r="HG1915" s="1"/>
      <c r="HH1915" s="1"/>
    </row>
    <row r="1916" spans="1:216" x14ac:dyDescent="0.3">
      <c r="A1916" s="3"/>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c r="EF1916" s="1"/>
      <c r="EG1916" s="1"/>
      <c r="EH1916" s="1"/>
      <c r="EI1916" s="1"/>
      <c r="EJ1916" s="1"/>
      <c r="EK1916" s="1"/>
      <c r="EL1916" s="1"/>
      <c r="EM1916" s="1"/>
      <c r="EN1916" s="1"/>
      <c r="EO1916" s="1"/>
      <c r="EP1916" s="1"/>
      <c r="EQ1916" s="1"/>
      <c r="ER1916" s="1"/>
      <c r="ES1916" s="1"/>
      <c r="ET1916" s="1"/>
      <c r="EU1916" s="1"/>
      <c r="EV1916" s="1"/>
      <c r="EW1916" s="1"/>
      <c r="EX1916" s="1"/>
      <c r="EY1916" s="1"/>
      <c r="EZ1916" s="1"/>
      <c r="FA1916" s="1"/>
      <c r="FB1916" s="1"/>
      <c r="FC1916" s="1"/>
      <c r="FD1916" s="1"/>
      <c r="FE1916" s="1"/>
      <c r="FF1916" s="1"/>
      <c r="FG1916" s="1"/>
      <c r="FH1916" s="1"/>
      <c r="FI1916" s="1"/>
      <c r="FJ1916" s="1"/>
      <c r="FK1916" s="1"/>
      <c r="FL1916" s="1"/>
      <c r="FM1916" s="1"/>
      <c r="FN1916" s="1"/>
      <c r="FO1916" s="1"/>
      <c r="FP1916" s="1"/>
      <c r="FQ1916" s="1"/>
      <c r="FR1916" s="1"/>
      <c r="FS1916" s="1"/>
      <c r="FT1916" s="1"/>
      <c r="FU1916" s="1"/>
      <c r="FV1916" s="1"/>
      <c r="FW1916" s="1"/>
      <c r="FX1916" s="1"/>
      <c r="FY1916" s="1"/>
      <c r="FZ1916" s="1"/>
      <c r="GA1916" s="1"/>
      <c r="GB1916" s="1"/>
      <c r="GC1916" s="1"/>
      <c r="GD1916" s="1"/>
      <c r="GE1916" s="1"/>
      <c r="GF1916" s="1"/>
      <c r="GG1916" s="1"/>
      <c r="GH1916" s="1"/>
      <c r="GI1916" s="1"/>
      <c r="GJ1916" s="1"/>
      <c r="GK1916" s="1"/>
      <c r="GL1916" s="1"/>
      <c r="GM1916" s="1"/>
      <c r="GN1916" s="1"/>
      <c r="GO1916" s="1"/>
      <c r="GP1916" s="1"/>
      <c r="GQ1916" s="1"/>
      <c r="GR1916" s="1"/>
      <c r="GS1916" s="1"/>
      <c r="GT1916" s="1"/>
      <c r="GU1916" s="1"/>
      <c r="GV1916" s="1"/>
      <c r="GW1916" s="1"/>
      <c r="GX1916" s="1"/>
      <c r="GY1916" s="1"/>
      <c r="GZ1916" s="1"/>
      <c r="HA1916" s="1"/>
      <c r="HB1916" s="1"/>
      <c r="HC1916" s="1"/>
      <c r="HD1916" s="1"/>
      <c r="HE1916" s="1"/>
      <c r="HF1916" s="1"/>
      <c r="HG1916" s="1"/>
      <c r="HH1916" s="1"/>
    </row>
    <row r="1917" spans="1:216" x14ac:dyDescent="0.3">
      <c r="A1917" s="3"/>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c r="EF1917" s="1"/>
      <c r="EG1917" s="1"/>
      <c r="EH1917" s="1"/>
      <c r="EI1917" s="1"/>
      <c r="EJ1917" s="1"/>
      <c r="EK1917" s="1"/>
      <c r="EL1917" s="1"/>
      <c r="EM1917" s="1"/>
      <c r="EN1917" s="1"/>
      <c r="EO1917" s="1"/>
      <c r="EP1917" s="1"/>
      <c r="EQ1917" s="1"/>
      <c r="ER1917" s="1"/>
      <c r="ES1917" s="1"/>
      <c r="ET1917" s="1"/>
      <c r="EU1917" s="1"/>
      <c r="EV1917" s="1"/>
      <c r="EW1917" s="1"/>
      <c r="EX1917" s="1"/>
      <c r="EY1917" s="1"/>
      <c r="EZ1917" s="1"/>
      <c r="FA1917" s="1"/>
      <c r="FB1917" s="1"/>
      <c r="FC1917" s="1"/>
      <c r="FD1917" s="1"/>
      <c r="FE1917" s="1"/>
      <c r="FF1917" s="1"/>
      <c r="FG1917" s="1"/>
      <c r="FH1917" s="1"/>
      <c r="FI1917" s="1"/>
      <c r="FJ1917" s="1"/>
      <c r="FK1917" s="1"/>
      <c r="FL1917" s="1"/>
      <c r="FM1917" s="1"/>
      <c r="FN1917" s="1"/>
      <c r="FO1917" s="1"/>
      <c r="FP1917" s="1"/>
      <c r="FQ1917" s="1"/>
      <c r="FR1917" s="1"/>
      <c r="FS1917" s="1"/>
      <c r="FT1917" s="1"/>
      <c r="FU1917" s="1"/>
      <c r="FV1917" s="1"/>
      <c r="FW1917" s="1"/>
      <c r="FX1917" s="1"/>
      <c r="FY1917" s="1"/>
      <c r="FZ1917" s="1"/>
      <c r="GA1917" s="1"/>
      <c r="GB1917" s="1"/>
      <c r="GC1917" s="1"/>
      <c r="GD1917" s="1"/>
      <c r="GE1917" s="1"/>
      <c r="GF1917" s="1"/>
      <c r="GG1917" s="1"/>
      <c r="GH1917" s="1"/>
      <c r="GI1917" s="1"/>
      <c r="GJ1917" s="1"/>
      <c r="GK1917" s="1"/>
      <c r="GL1917" s="1"/>
      <c r="GM1917" s="1"/>
      <c r="GN1917" s="1"/>
      <c r="GO1917" s="1"/>
      <c r="GP1917" s="1"/>
      <c r="GQ1917" s="1"/>
      <c r="GR1917" s="1"/>
      <c r="GS1917" s="1"/>
      <c r="GT1917" s="1"/>
      <c r="GU1917" s="1"/>
      <c r="GV1917" s="1"/>
      <c r="GW1917" s="1"/>
      <c r="GX1917" s="1"/>
      <c r="GY1917" s="1"/>
      <c r="GZ1917" s="1"/>
      <c r="HA1917" s="1"/>
      <c r="HB1917" s="1"/>
      <c r="HC1917" s="1"/>
      <c r="HD1917" s="1"/>
      <c r="HE1917" s="1"/>
      <c r="HF1917" s="1"/>
      <c r="HG1917" s="1"/>
      <c r="HH1917" s="1"/>
    </row>
    <row r="1918" spans="1:216" x14ac:dyDescent="0.3">
      <c r="A1918" s="3"/>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c r="EF1918" s="1"/>
      <c r="EG1918" s="1"/>
      <c r="EH1918" s="1"/>
      <c r="EI1918" s="1"/>
      <c r="EJ1918" s="1"/>
      <c r="EK1918" s="1"/>
      <c r="EL1918" s="1"/>
      <c r="EM1918" s="1"/>
      <c r="EN1918" s="1"/>
      <c r="EO1918" s="1"/>
      <c r="EP1918" s="1"/>
      <c r="EQ1918" s="1"/>
      <c r="ER1918" s="1"/>
      <c r="ES1918" s="1"/>
      <c r="ET1918" s="1"/>
      <c r="EU1918" s="1"/>
      <c r="EV1918" s="1"/>
      <c r="EW1918" s="1"/>
      <c r="EX1918" s="1"/>
      <c r="EY1918" s="1"/>
      <c r="EZ1918" s="1"/>
      <c r="FA1918" s="1"/>
      <c r="FB1918" s="1"/>
      <c r="FC1918" s="1"/>
      <c r="FD1918" s="1"/>
      <c r="FE1918" s="1"/>
      <c r="FF1918" s="1"/>
      <c r="FG1918" s="1"/>
      <c r="FH1918" s="1"/>
      <c r="FI1918" s="1"/>
      <c r="FJ1918" s="1"/>
      <c r="FK1918" s="1"/>
      <c r="FL1918" s="1"/>
      <c r="FM1918" s="1"/>
      <c r="FN1918" s="1"/>
      <c r="FO1918" s="1"/>
      <c r="FP1918" s="1"/>
      <c r="FQ1918" s="1"/>
      <c r="FR1918" s="1"/>
      <c r="FS1918" s="1"/>
      <c r="FT1918" s="1"/>
      <c r="FU1918" s="1"/>
      <c r="FV1918" s="1"/>
      <c r="FW1918" s="1"/>
      <c r="FX1918" s="1"/>
      <c r="FY1918" s="1"/>
      <c r="FZ1918" s="1"/>
      <c r="GA1918" s="1"/>
      <c r="GB1918" s="1"/>
      <c r="GC1918" s="1"/>
      <c r="GD1918" s="1"/>
      <c r="GE1918" s="1"/>
      <c r="GF1918" s="1"/>
      <c r="GG1918" s="1"/>
      <c r="GH1918" s="1"/>
      <c r="GI1918" s="1"/>
      <c r="GJ1918" s="1"/>
      <c r="GK1918" s="1"/>
      <c r="GL1918" s="1"/>
      <c r="GM1918" s="1"/>
      <c r="GN1918" s="1"/>
      <c r="GO1918" s="1"/>
      <c r="GP1918" s="1"/>
      <c r="GQ1918" s="1"/>
      <c r="GR1918" s="1"/>
      <c r="GS1918" s="1"/>
      <c r="GT1918" s="1"/>
      <c r="GU1918" s="1"/>
      <c r="GV1918" s="1"/>
      <c r="GW1918" s="1"/>
      <c r="GX1918" s="1"/>
      <c r="GY1918" s="1"/>
      <c r="GZ1918" s="1"/>
      <c r="HA1918" s="1"/>
      <c r="HB1918" s="1"/>
      <c r="HC1918" s="1"/>
      <c r="HD1918" s="1"/>
      <c r="HE1918" s="1"/>
      <c r="HF1918" s="1"/>
      <c r="HG1918" s="1"/>
      <c r="HH1918" s="1"/>
    </row>
    <row r="1919" spans="1:216" x14ac:dyDescent="0.3">
      <c r="A1919" s="3"/>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c r="EF1919" s="1"/>
      <c r="EG1919" s="1"/>
      <c r="EH1919" s="1"/>
      <c r="EI1919" s="1"/>
      <c r="EJ1919" s="1"/>
      <c r="EK1919" s="1"/>
      <c r="EL1919" s="1"/>
      <c r="EM1919" s="1"/>
      <c r="EN1919" s="1"/>
      <c r="EO1919" s="1"/>
      <c r="EP1919" s="1"/>
      <c r="EQ1919" s="1"/>
      <c r="ER1919" s="1"/>
      <c r="ES1919" s="1"/>
      <c r="ET1919" s="1"/>
      <c r="EU1919" s="1"/>
      <c r="EV1919" s="1"/>
      <c r="EW1919" s="1"/>
      <c r="EX1919" s="1"/>
      <c r="EY1919" s="1"/>
      <c r="EZ1919" s="1"/>
      <c r="FA1919" s="1"/>
      <c r="FB1919" s="1"/>
      <c r="FC1919" s="1"/>
      <c r="FD1919" s="1"/>
      <c r="FE1919" s="1"/>
      <c r="FF1919" s="1"/>
      <c r="FG1919" s="1"/>
      <c r="FH1919" s="1"/>
      <c r="FI1919" s="1"/>
      <c r="FJ1919" s="1"/>
      <c r="FK1919" s="1"/>
      <c r="FL1919" s="1"/>
      <c r="FM1919" s="1"/>
      <c r="FN1919" s="1"/>
      <c r="FO1919" s="1"/>
      <c r="FP1919" s="1"/>
      <c r="FQ1919" s="1"/>
      <c r="FR1919" s="1"/>
      <c r="FS1919" s="1"/>
      <c r="FT1919" s="1"/>
      <c r="FU1919" s="1"/>
      <c r="FV1919" s="1"/>
      <c r="FW1919" s="1"/>
      <c r="FX1919" s="1"/>
      <c r="FY1919" s="1"/>
      <c r="FZ1919" s="1"/>
      <c r="GA1919" s="1"/>
      <c r="GB1919" s="1"/>
      <c r="GC1919" s="1"/>
      <c r="GD1919" s="1"/>
      <c r="GE1919" s="1"/>
      <c r="GF1919" s="1"/>
      <c r="GG1919" s="1"/>
      <c r="GH1919" s="1"/>
      <c r="GI1919" s="1"/>
      <c r="GJ1919" s="1"/>
      <c r="GK1919" s="1"/>
      <c r="GL1919" s="1"/>
      <c r="GM1919" s="1"/>
      <c r="GN1919" s="1"/>
      <c r="GO1919" s="1"/>
      <c r="GP1919" s="1"/>
      <c r="GQ1919" s="1"/>
      <c r="GR1919" s="1"/>
      <c r="GS1919" s="1"/>
      <c r="GT1919" s="1"/>
      <c r="GU1919" s="1"/>
      <c r="GV1919" s="1"/>
      <c r="GW1919" s="1"/>
      <c r="GX1919" s="1"/>
      <c r="GY1919" s="1"/>
      <c r="GZ1919" s="1"/>
      <c r="HA1919" s="1"/>
      <c r="HB1919" s="1"/>
      <c r="HC1919" s="1"/>
      <c r="HD1919" s="1"/>
      <c r="HE1919" s="1"/>
      <c r="HF1919" s="1"/>
      <c r="HG1919" s="1"/>
      <c r="HH1919" s="1"/>
    </row>
    <row r="1920" spans="1:216" x14ac:dyDescent="0.3">
      <c r="A1920" s="3"/>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c r="EF1920" s="1"/>
      <c r="EG1920" s="1"/>
      <c r="EH1920" s="1"/>
      <c r="EI1920" s="1"/>
      <c r="EJ1920" s="1"/>
      <c r="EK1920" s="1"/>
      <c r="EL1920" s="1"/>
      <c r="EM1920" s="1"/>
      <c r="EN1920" s="1"/>
      <c r="EO1920" s="1"/>
      <c r="EP1920" s="1"/>
      <c r="EQ1920" s="1"/>
      <c r="ER1920" s="1"/>
      <c r="ES1920" s="1"/>
      <c r="ET1920" s="1"/>
      <c r="EU1920" s="1"/>
      <c r="EV1920" s="1"/>
      <c r="EW1920" s="1"/>
      <c r="EX1920" s="1"/>
      <c r="EY1920" s="1"/>
      <c r="EZ1920" s="1"/>
      <c r="FA1920" s="1"/>
      <c r="FB1920" s="1"/>
      <c r="FC1920" s="1"/>
      <c r="FD1920" s="1"/>
      <c r="FE1920" s="1"/>
      <c r="FF1920" s="1"/>
      <c r="FG1920" s="1"/>
      <c r="FH1920" s="1"/>
      <c r="FI1920" s="1"/>
      <c r="FJ1920" s="1"/>
      <c r="FK1920" s="1"/>
      <c r="FL1920" s="1"/>
      <c r="FM1920" s="1"/>
      <c r="FN1920" s="1"/>
      <c r="FO1920" s="1"/>
      <c r="FP1920" s="1"/>
      <c r="FQ1920" s="1"/>
      <c r="FR1920" s="1"/>
      <c r="FS1920" s="1"/>
      <c r="FT1920" s="1"/>
      <c r="FU1920" s="1"/>
      <c r="FV1920" s="1"/>
      <c r="FW1920" s="1"/>
      <c r="FX1920" s="1"/>
      <c r="FY1920" s="1"/>
      <c r="FZ1920" s="1"/>
      <c r="GA1920" s="1"/>
      <c r="GB1920" s="1"/>
      <c r="GC1920" s="1"/>
      <c r="GD1920" s="1"/>
      <c r="GE1920" s="1"/>
      <c r="GF1920" s="1"/>
      <c r="GG1920" s="1"/>
      <c r="GH1920" s="1"/>
      <c r="GI1920" s="1"/>
      <c r="GJ1920" s="1"/>
      <c r="GK1920" s="1"/>
      <c r="GL1920" s="1"/>
      <c r="GM1920" s="1"/>
      <c r="GN1920" s="1"/>
      <c r="GO1920" s="1"/>
      <c r="GP1920" s="1"/>
      <c r="GQ1920" s="1"/>
      <c r="GR1920" s="1"/>
      <c r="GS1920" s="1"/>
      <c r="GT1920" s="1"/>
      <c r="GU1920" s="1"/>
      <c r="GV1920" s="1"/>
      <c r="GW1920" s="1"/>
      <c r="GX1920" s="1"/>
      <c r="GY1920" s="1"/>
      <c r="GZ1920" s="1"/>
      <c r="HA1920" s="1"/>
      <c r="HB1920" s="1"/>
      <c r="HC1920" s="1"/>
      <c r="HD1920" s="1"/>
      <c r="HE1920" s="1"/>
      <c r="HF1920" s="1"/>
      <c r="HG1920" s="1"/>
      <c r="HH1920" s="1"/>
    </row>
    <row r="1921" spans="1:216" x14ac:dyDescent="0.3">
      <c r="A1921" s="3"/>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c r="EF1921" s="1"/>
      <c r="EG1921" s="1"/>
      <c r="EH1921" s="1"/>
      <c r="EI1921" s="1"/>
      <c r="EJ1921" s="1"/>
      <c r="EK1921" s="1"/>
      <c r="EL1921" s="1"/>
      <c r="EM1921" s="1"/>
      <c r="EN1921" s="1"/>
      <c r="EO1921" s="1"/>
      <c r="EP1921" s="1"/>
      <c r="EQ1921" s="1"/>
      <c r="ER1921" s="1"/>
      <c r="ES1921" s="1"/>
      <c r="ET1921" s="1"/>
      <c r="EU1921" s="1"/>
      <c r="EV1921" s="1"/>
      <c r="EW1921" s="1"/>
      <c r="EX1921" s="1"/>
      <c r="EY1921" s="1"/>
      <c r="EZ1921" s="1"/>
      <c r="FA1921" s="1"/>
      <c r="FB1921" s="1"/>
      <c r="FC1921" s="1"/>
      <c r="FD1921" s="1"/>
      <c r="FE1921" s="1"/>
      <c r="FF1921" s="1"/>
      <c r="FG1921" s="1"/>
      <c r="FH1921" s="1"/>
      <c r="FI1921" s="1"/>
      <c r="FJ1921" s="1"/>
      <c r="FK1921" s="1"/>
      <c r="FL1921" s="1"/>
      <c r="FM1921" s="1"/>
      <c r="FN1921" s="1"/>
      <c r="FO1921" s="1"/>
      <c r="FP1921" s="1"/>
      <c r="FQ1921" s="1"/>
      <c r="FR1921" s="1"/>
      <c r="FS1921" s="1"/>
      <c r="FT1921" s="1"/>
      <c r="FU1921" s="1"/>
      <c r="FV1921" s="1"/>
      <c r="FW1921" s="1"/>
      <c r="FX1921" s="1"/>
      <c r="FY1921" s="1"/>
      <c r="FZ1921" s="1"/>
      <c r="GA1921" s="1"/>
      <c r="GB1921" s="1"/>
      <c r="GC1921" s="1"/>
      <c r="GD1921" s="1"/>
      <c r="GE1921" s="1"/>
      <c r="GF1921" s="1"/>
      <c r="GG1921" s="1"/>
      <c r="GH1921" s="1"/>
      <c r="GI1921" s="1"/>
      <c r="GJ1921" s="1"/>
      <c r="GK1921" s="1"/>
      <c r="GL1921" s="1"/>
      <c r="GM1921" s="1"/>
      <c r="GN1921" s="1"/>
      <c r="GO1921" s="1"/>
      <c r="GP1921" s="1"/>
      <c r="GQ1921" s="1"/>
      <c r="GR1921" s="1"/>
      <c r="GS1921" s="1"/>
      <c r="GT1921" s="1"/>
      <c r="GU1921" s="1"/>
      <c r="GV1921" s="1"/>
      <c r="GW1921" s="1"/>
      <c r="GX1921" s="1"/>
      <c r="GY1921" s="1"/>
      <c r="GZ1921" s="1"/>
      <c r="HA1921" s="1"/>
      <c r="HB1921" s="1"/>
      <c r="HC1921" s="1"/>
      <c r="HD1921" s="1"/>
      <c r="HE1921" s="1"/>
      <c r="HF1921" s="1"/>
      <c r="HG1921" s="1"/>
      <c r="HH1921" s="1"/>
    </row>
    <row r="1922" spans="1:216" x14ac:dyDescent="0.3">
      <c r="A1922" s="3"/>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c r="EF1922" s="1"/>
      <c r="EG1922" s="1"/>
      <c r="EH1922" s="1"/>
      <c r="EI1922" s="1"/>
      <c r="EJ1922" s="1"/>
      <c r="EK1922" s="1"/>
      <c r="EL1922" s="1"/>
      <c r="EM1922" s="1"/>
      <c r="EN1922" s="1"/>
      <c r="EO1922" s="1"/>
      <c r="EP1922" s="1"/>
      <c r="EQ1922" s="1"/>
      <c r="ER1922" s="1"/>
      <c r="ES1922" s="1"/>
      <c r="ET1922" s="1"/>
      <c r="EU1922" s="1"/>
      <c r="EV1922" s="1"/>
      <c r="EW1922" s="1"/>
      <c r="EX1922" s="1"/>
      <c r="EY1922" s="1"/>
      <c r="EZ1922" s="1"/>
      <c r="FA1922" s="1"/>
      <c r="FB1922" s="1"/>
      <c r="FC1922" s="1"/>
      <c r="FD1922" s="1"/>
      <c r="FE1922" s="1"/>
      <c r="FF1922" s="1"/>
      <c r="FG1922" s="1"/>
      <c r="FH1922" s="1"/>
      <c r="FI1922" s="1"/>
      <c r="FJ1922" s="1"/>
      <c r="FK1922" s="1"/>
      <c r="FL1922" s="1"/>
      <c r="FM1922" s="1"/>
      <c r="FN1922" s="1"/>
      <c r="FO1922" s="1"/>
      <c r="FP1922" s="1"/>
      <c r="FQ1922" s="1"/>
      <c r="FR1922" s="1"/>
      <c r="FS1922" s="1"/>
      <c r="FT1922" s="1"/>
      <c r="FU1922" s="1"/>
      <c r="FV1922" s="1"/>
      <c r="FW1922" s="1"/>
      <c r="FX1922" s="1"/>
      <c r="FY1922" s="1"/>
      <c r="FZ1922" s="1"/>
      <c r="GA1922" s="1"/>
      <c r="GB1922" s="1"/>
      <c r="GC1922" s="1"/>
      <c r="GD1922" s="1"/>
      <c r="GE1922" s="1"/>
      <c r="GF1922" s="1"/>
      <c r="GG1922" s="1"/>
      <c r="GH1922" s="1"/>
      <c r="GI1922" s="1"/>
      <c r="GJ1922" s="1"/>
      <c r="GK1922" s="1"/>
      <c r="GL1922" s="1"/>
      <c r="GM1922" s="1"/>
      <c r="GN1922" s="1"/>
      <c r="GO1922" s="1"/>
      <c r="GP1922" s="1"/>
      <c r="GQ1922" s="1"/>
      <c r="GR1922" s="1"/>
      <c r="GS1922" s="1"/>
      <c r="GT1922" s="1"/>
      <c r="GU1922" s="1"/>
      <c r="GV1922" s="1"/>
      <c r="GW1922" s="1"/>
      <c r="GX1922" s="1"/>
      <c r="GY1922" s="1"/>
      <c r="GZ1922" s="1"/>
      <c r="HA1922" s="1"/>
      <c r="HB1922" s="1"/>
      <c r="HC1922" s="1"/>
      <c r="HD1922" s="1"/>
      <c r="HE1922" s="1"/>
      <c r="HF1922" s="1"/>
      <c r="HG1922" s="1"/>
      <c r="HH1922" s="1"/>
    </row>
    <row r="1923" spans="1:216" x14ac:dyDescent="0.3">
      <c r="A1923" s="3"/>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c r="EF1923" s="1"/>
      <c r="EG1923" s="1"/>
      <c r="EH1923" s="1"/>
      <c r="EI1923" s="1"/>
      <c r="EJ1923" s="1"/>
      <c r="EK1923" s="1"/>
      <c r="EL1923" s="1"/>
      <c r="EM1923" s="1"/>
      <c r="EN1923" s="1"/>
      <c r="EO1923" s="1"/>
      <c r="EP1923" s="1"/>
      <c r="EQ1923" s="1"/>
      <c r="ER1923" s="1"/>
      <c r="ES1923" s="1"/>
      <c r="ET1923" s="1"/>
      <c r="EU1923" s="1"/>
      <c r="EV1923" s="1"/>
      <c r="EW1923" s="1"/>
      <c r="EX1923" s="1"/>
      <c r="EY1923" s="1"/>
      <c r="EZ1923" s="1"/>
      <c r="FA1923" s="1"/>
      <c r="FB1923" s="1"/>
      <c r="FC1923" s="1"/>
      <c r="FD1923" s="1"/>
      <c r="FE1923" s="1"/>
      <c r="FF1923" s="1"/>
      <c r="FG1923" s="1"/>
      <c r="FH1923" s="1"/>
      <c r="FI1923" s="1"/>
      <c r="FJ1923" s="1"/>
      <c r="FK1923" s="1"/>
      <c r="FL1923" s="1"/>
      <c r="FM1923" s="1"/>
      <c r="FN1923" s="1"/>
      <c r="FO1923" s="1"/>
      <c r="FP1923" s="1"/>
      <c r="FQ1923" s="1"/>
      <c r="FR1923" s="1"/>
      <c r="FS1923" s="1"/>
      <c r="FT1923" s="1"/>
      <c r="FU1923" s="1"/>
      <c r="FV1923" s="1"/>
      <c r="FW1923" s="1"/>
      <c r="FX1923" s="1"/>
      <c r="FY1923" s="1"/>
      <c r="FZ1923" s="1"/>
      <c r="GA1923" s="1"/>
      <c r="GB1923" s="1"/>
      <c r="GC1923" s="1"/>
      <c r="GD1923" s="1"/>
      <c r="GE1923" s="1"/>
      <c r="GF1923" s="1"/>
      <c r="GG1923" s="1"/>
      <c r="GH1923" s="1"/>
      <c r="GI1923" s="1"/>
      <c r="GJ1923" s="1"/>
      <c r="GK1923" s="1"/>
      <c r="GL1923" s="1"/>
      <c r="GM1923" s="1"/>
      <c r="GN1923" s="1"/>
      <c r="GO1923" s="1"/>
      <c r="GP1923" s="1"/>
      <c r="GQ1923" s="1"/>
      <c r="GR1923" s="1"/>
      <c r="GS1923" s="1"/>
      <c r="GT1923" s="1"/>
      <c r="GU1923" s="1"/>
      <c r="GV1923" s="1"/>
      <c r="GW1923" s="1"/>
      <c r="GX1923" s="1"/>
      <c r="GY1923" s="1"/>
      <c r="GZ1923" s="1"/>
      <c r="HA1923" s="1"/>
      <c r="HB1923" s="1"/>
      <c r="HC1923" s="1"/>
      <c r="HD1923" s="1"/>
      <c r="HE1923" s="1"/>
      <c r="HF1923" s="1"/>
      <c r="HG1923" s="1"/>
      <c r="HH1923" s="1"/>
    </row>
    <row r="1924" spans="1:216" x14ac:dyDescent="0.3">
      <c r="A1924" s="3"/>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c r="EF1924" s="1"/>
      <c r="EG1924" s="1"/>
      <c r="EH1924" s="1"/>
      <c r="EI1924" s="1"/>
      <c r="EJ1924" s="1"/>
      <c r="EK1924" s="1"/>
      <c r="EL1924" s="1"/>
      <c r="EM1924" s="1"/>
      <c r="EN1924" s="1"/>
      <c r="EO1924" s="1"/>
      <c r="EP1924" s="1"/>
      <c r="EQ1924" s="1"/>
      <c r="ER1924" s="1"/>
      <c r="ES1924" s="1"/>
      <c r="ET1924" s="1"/>
      <c r="EU1924" s="1"/>
      <c r="EV1924" s="1"/>
      <c r="EW1924" s="1"/>
      <c r="EX1924" s="1"/>
      <c r="EY1924" s="1"/>
      <c r="EZ1924" s="1"/>
      <c r="FA1924" s="1"/>
      <c r="FB1924" s="1"/>
      <c r="FC1924" s="1"/>
      <c r="FD1924" s="1"/>
      <c r="FE1924" s="1"/>
      <c r="FF1924" s="1"/>
      <c r="FG1924" s="1"/>
      <c r="FH1924" s="1"/>
      <c r="FI1924" s="1"/>
      <c r="FJ1924" s="1"/>
      <c r="FK1924" s="1"/>
      <c r="FL1924" s="1"/>
      <c r="FM1924" s="1"/>
      <c r="FN1924" s="1"/>
      <c r="FO1924" s="1"/>
      <c r="FP1924" s="1"/>
      <c r="FQ1924" s="1"/>
      <c r="FR1924" s="1"/>
      <c r="FS1924" s="1"/>
      <c r="FT1924" s="1"/>
      <c r="FU1924" s="1"/>
      <c r="FV1924" s="1"/>
      <c r="FW1924" s="1"/>
      <c r="FX1924" s="1"/>
      <c r="FY1924" s="1"/>
      <c r="FZ1924" s="1"/>
      <c r="GA1924" s="1"/>
      <c r="GB1924" s="1"/>
      <c r="GC1924" s="1"/>
      <c r="GD1924" s="1"/>
      <c r="GE1924" s="1"/>
      <c r="GF1924" s="1"/>
      <c r="GG1924" s="1"/>
      <c r="GH1924" s="1"/>
      <c r="GI1924" s="1"/>
      <c r="GJ1924" s="1"/>
      <c r="GK1924" s="1"/>
      <c r="GL1924" s="1"/>
      <c r="GM1924" s="1"/>
      <c r="GN1924" s="1"/>
      <c r="GO1924" s="1"/>
      <c r="GP1924" s="1"/>
      <c r="GQ1924" s="1"/>
      <c r="GR1924" s="1"/>
      <c r="GS1924" s="1"/>
      <c r="GT1924" s="1"/>
      <c r="GU1924" s="1"/>
      <c r="GV1924" s="1"/>
      <c r="GW1924" s="1"/>
      <c r="GX1924" s="1"/>
      <c r="GY1924" s="1"/>
      <c r="GZ1924" s="1"/>
      <c r="HA1924" s="1"/>
      <c r="HB1924" s="1"/>
      <c r="HC1924" s="1"/>
      <c r="HD1924" s="1"/>
      <c r="HE1924" s="1"/>
      <c r="HF1924" s="1"/>
      <c r="HG1924" s="1"/>
      <c r="HH1924" s="1"/>
    </row>
    <row r="1925" spans="1:216" x14ac:dyDescent="0.3">
      <c r="A1925" s="3"/>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c r="EF1925" s="1"/>
      <c r="EG1925" s="1"/>
      <c r="EH1925" s="1"/>
      <c r="EI1925" s="1"/>
      <c r="EJ1925" s="1"/>
      <c r="EK1925" s="1"/>
      <c r="EL1925" s="1"/>
      <c r="EM1925" s="1"/>
      <c r="EN1925" s="1"/>
      <c r="EO1925" s="1"/>
      <c r="EP1925" s="1"/>
      <c r="EQ1925" s="1"/>
      <c r="ER1925" s="1"/>
      <c r="ES1925" s="1"/>
      <c r="ET1925" s="1"/>
      <c r="EU1925" s="1"/>
      <c r="EV1925" s="1"/>
      <c r="EW1925" s="1"/>
      <c r="EX1925" s="1"/>
      <c r="EY1925" s="1"/>
      <c r="EZ1925" s="1"/>
      <c r="FA1925" s="1"/>
      <c r="FB1925" s="1"/>
      <c r="FC1925" s="1"/>
      <c r="FD1925" s="1"/>
      <c r="FE1925" s="1"/>
      <c r="FF1925" s="1"/>
      <c r="FG1925" s="1"/>
      <c r="FH1925" s="1"/>
      <c r="FI1925" s="1"/>
      <c r="FJ1925" s="1"/>
      <c r="FK1925" s="1"/>
      <c r="FL1925" s="1"/>
      <c r="FM1925" s="1"/>
      <c r="FN1925" s="1"/>
      <c r="FO1925" s="1"/>
      <c r="FP1925" s="1"/>
      <c r="FQ1925" s="1"/>
      <c r="FR1925" s="1"/>
      <c r="FS1925" s="1"/>
      <c r="FT1925" s="1"/>
      <c r="FU1925" s="1"/>
      <c r="FV1925" s="1"/>
      <c r="FW1925" s="1"/>
      <c r="FX1925" s="1"/>
      <c r="FY1925" s="1"/>
      <c r="FZ1925" s="1"/>
      <c r="GA1925" s="1"/>
      <c r="GB1925" s="1"/>
      <c r="GC1925" s="1"/>
      <c r="GD1925" s="1"/>
      <c r="GE1925" s="1"/>
      <c r="GF1925" s="1"/>
      <c r="GG1925" s="1"/>
      <c r="GH1925" s="1"/>
      <c r="GI1925" s="1"/>
      <c r="GJ1925" s="1"/>
      <c r="GK1925" s="1"/>
      <c r="GL1925" s="1"/>
      <c r="GM1925" s="1"/>
      <c r="GN1925" s="1"/>
      <c r="GO1925" s="1"/>
      <c r="GP1925" s="1"/>
      <c r="GQ1925" s="1"/>
      <c r="GR1925" s="1"/>
      <c r="GS1925" s="1"/>
      <c r="GT1925" s="1"/>
      <c r="GU1925" s="1"/>
      <c r="GV1925" s="1"/>
      <c r="GW1925" s="1"/>
      <c r="GX1925" s="1"/>
      <c r="GY1925" s="1"/>
      <c r="GZ1925" s="1"/>
      <c r="HA1925" s="1"/>
      <c r="HB1925" s="1"/>
      <c r="HC1925" s="1"/>
      <c r="HD1925" s="1"/>
      <c r="HE1925" s="1"/>
      <c r="HF1925" s="1"/>
      <c r="HG1925" s="1"/>
      <c r="HH1925" s="1"/>
    </row>
    <row r="1926" spans="1:216" x14ac:dyDescent="0.3">
      <c r="A1926" s="3"/>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c r="EF1926" s="1"/>
      <c r="EG1926" s="1"/>
      <c r="EH1926" s="1"/>
      <c r="EI1926" s="1"/>
      <c r="EJ1926" s="1"/>
      <c r="EK1926" s="1"/>
      <c r="EL1926" s="1"/>
      <c r="EM1926" s="1"/>
      <c r="EN1926" s="1"/>
      <c r="EO1926" s="1"/>
      <c r="EP1926" s="1"/>
      <c r="EQ1926" s="1"/>
      <c r="ER1926" s="1"/>
      <c r="ES1926" s="1"/>
      <c r="ET1926" s="1"/>
      <c r="EU1926" s="1"/>
      <c r="EV1926" s="1"/>
      <c r="EW1926" s="1"/>
      <c r="EX1926" s="1"/>
      <c r="EY1926" s="1"/>
      <c r="EZ1926" s="1"/>
      <c r="FA1926" s="1"/>
      <c r="FB1926" s="1"/>
      <c r="FC1926" s="1"/>
      <c r="FD1926" s="1"/>
      <c r="FE1926" s="1"/>
      <c r="FF1926" s="1"/>
      <c r="FG1926" s="1"/>
      <c r="FH1926" s="1"/>
      <c r="FI1926" s="1"/>
      <c r="FJ1926" s="1"/>
      <c r="FK1926" s="1"/>
      <c r="FL1926" s="1"/>
      <c r="FM1926" s="1"/>
      <c r="FN1926" s="1"/>
      <c r="FO1926" s="1"/>
      <c r="FP1926" s="1"/>
      <c r="FQ1926" s="1"/>
      <c r="FR1926" s="1"/>
      <c r="FS1926" s="1"/>
      <c r="FT1926" s="1"/>
      <c r="FU1926" s="1"/>
      <c r="FV1926" s="1"/>
      <c r="FW1926" s="1"/>
      <c r="FX1926" s="1"/>
      <c r="FY1926" s="1"/>
      <c r="FZ1926" s="1"/>
      <c r="GA1926" s="1"/>
      <c r="GB1926" s="1"/>
      <c r="GC1926" s="1"/>
      <c r="GD1926" s="1"/>
      <c r="GE1926" s="1"/>
      <c r="GF1926" s="1"/>
      <c r="GG1926" s="1"/>
      <c r="GH1926" s="1"/>
      <c r="GI1926" s="1"/>
      <c r="GJ1926" s="1"/>
      <c r="GK1926" s="1"/>
      <c r="GL1926" s="1"/>
      <c r="GM1926" s="1"/>
      <c r="GN1926" s="1"/>
      <c r="GO1926" s="1"/>
      <c r="GP1926" s="1"/>
      <c r="GQ1926" s="1"/>
      <c r="GR1926" s="1"/>
      <c r="GS1926" s="1"/>
      <c r="GT1926" s="1"/>
      <c r="GU1926" s="1"/>
      <c r="GV1926" s="1"/>
      <c r="GW1926" s="1"/>
      <c r="GX1926" s="1"/>
      <c r="GY1926" s="1"/>
      <c r="GZ1926" s="1"/>
      <c r="HA1926" s="1"/>
      <c r="HB1926" s="1"/>
      <c r="HC1926" s="1"/>
      <c r="HD1926" s="1"/>
      <c r="HE1926" s="1"/>
      <c r="HF1926" s="1"/>
      <c r="HG1926" s="1"/>
      <c r="HH1926" s="1"/>
    </row>
    <row r="1927" spans="1:216" x14ac:dyDescent="0.3">
      <c r="A1927" s="3"/>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c r="EF1927" s="1"/>
      <c r="EG1927" s="1"/>
      <c r="EH1927" s="1"/>
      <c r="EI1927" s="1"/>
      <c r="EJ1927" s="1"/>
      <c r="EK1927" s="1"/>
      <c r="EL1927" s="1"/>
      <c r="EM1927" s="1"/>
      <c r="EN1927" s="1"/>
      <c r="EO1927" s="1"/>
      <c r="EP1927" s="1"/>
      <c r="EQ1927" s="1"/>
      <c r="ER1927" s="1"/>
      <c r="ES1927" s="1"/>
      <c r="ET1927" s="1"/>
      <c r="EU1927" s="1"/>
      <c r="EV1927" s="1"/>
      <c r="EW1927" s="1"/>
      <c r="EX1927" s="1"/>
      <c r="EY1927" s="1"/>
      <c r="EZ1927" s="1"/>
      <c r="FA1927" s="1"/>
      <c r="FB1927" s="1"/>
      <c r="FC1927" s="1"/>
      <c r="FD1927" s="1"/>
      <c r="FE1927" s="1"/>
      <c r="FF1927" s="1"/>
      <c r="FG1927" s="1"/>
      <c r="FH1927" s="1"/>
      <c r="FI1927" s="1"/>
      <c r="FJ1927" s="1"/>
      <c r="FK1927" s="1"/>
      <c r="FL1927" s="1"/>
      <c r="FM1927" s="1"/>
      <c r="FN1927" s="1"/>
      <c r="FO1927" s="1"/>
      <c r="FP1927" s="1"/>
      <c r="FQ1927" s="1"/>
      <c r="FR1927" s="1"/>
      <c r="FS1927" s="1"/>
      <c r="FT1927" s="1"/>
      <c r="FU1927" s="1"/>
      <c r="FV1927" s="1"/>
      <c r="FW1927" s="1"/>
      <c r="FX1927" s="1"/>
      <c r="FY1927" s="1"/>
      <c r="FZ1927" s="1"/>
      <c r="GA1927" s="1"/>
      <c r="GB1927" s="1"/>
      <c r="GC1927" s="1"/>
      <c r="GD1927" s="1"/>
      <c r="GE1927" s="1"/>
      <c r="GF1927" s="1"/>
      <c r="GG1927" s="1"/>
      <c r="GH1927" s="1"/>
      <c r="GI1927" s="1"/>
      <c r="GJ1927" s="1"/>
      <c r="GK1927" s="1"/>
      <c r="GL1927" s="1"/>
      <c r="GM1927" s="1"/>
      <c r="GN1927" s="1"/>
      <c r="GO1927" s="1"/>
      <c r="GP1927" s="1"/>
      <c r="GQ1927" s="1"/>
      <c r="GR1927" s="1"/>
      <c r="GS1927" s="1"/>
      <c r="GT1927" s="1"/>
      <c r="GU1927" s="1"/>
      <c r="GV1927" s="1"/>
      <c r="GW1927" s="1"/>
      <c r="GX1927" s="1"/>
      <c r="GY1927" s="1"/>
      <c r="GZ1927" s="1"/>
      <c r="HA1927" s="1"/>
      <c r="HB1927" s="1"/>
      <c r="HC1927" s="1"/>
      <c r="HD1927" s="1"/>
      <c r="HE1927" s="1"/>
      <c r="HF1927" s="1"/>
      <c r="HG1927" s="1"/>
      <c r="HH1927" s="1"/>
    </row>
    <row r="1928" spans="1:216" x14ac:dyDescent="0.3">
      <c r="A1928" s="3"/>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c r="EF1928" s="1"/>
      <c r="EG1928" s="1"/>
      <c r="EH1928" s="1"/>
      <c r="EI1928" s="1"/>
      <c r="EJ1928" s="1"/>
      <c r="EK1928" s="1"/>
      <c r="EL1928" s="1"/>
      <c r="EM1928" s="1"/>
      <c r="EN1928" s="1"/>
      <c r="EO1928" s="1"/>
      <c r="EP1928" s="1"/>
      <c r="EQ1928" s="1"/>
      <c r="ER1928" s="1"/>
      <c r="ES1928" s="1"/>
      <c r="ET1928" s="1"/>
      <c r="EU1928" s="1"/>
      <c r="EV1928" s="1"/>
      <c r="EW1928" s="1"/>
      <c r="EX1928" s="1"/>
      <c r="EY1928" s="1"/>
      <c r="EZ1928" s="1"/>
      <c r="FA1928" s="1"/>
      <c r="FB1928" s="1"/>
      <c r="FC1928" s="1"/>
      <c r="FD1928" s="1"/>
      <c r="FE1928" s="1"/>
      <c r="FF1928" s="1"/>
      <c r="FG1928" s="1"/>
      <c r="FH1928" s="1"/>
      <c r="FI1928" s="1"/>
      <c r="FJ1928" s="1"/>
      <c r="FK1928" s="1"/>
      <c r="FL1928" s="1"/>
      <c r="FM1928" s="1"/>
      <c r="FN1928" s="1"/>
      <c r="FO1928" s="1"/>
      <c r="FP1928" s="1"/>
      <c r="FQ1928" s="1"/>
      <c r="FR1928" s="1"/>
      <c r="FS1928" s="1"/>
      <c r="FT1928" s="1"/>
      <c r="FU1928" s="1"/>
      <c r="FV1928" s="1"/>
      <c r="FW1928" s="1"/>
      <c r="FX1928" s="1"/>
      <c r="FY1928" s="1"/>
      <c r="FZ1928" s="1"/>
      <c r="GA1928" s="1"/>
      <c r="GB1928" s="1"/>
      <c r="GC1928" s="1"/>
      <c r="GD1928" s="1"/>
      <c r="GE1928" s="1"/>
      <c r="GF1928" s="1"/>
      <c r="GG1928" s="1"/>
      <c r="GH1928" s="1"/>
      <c r="GI1928" s="1"/>
      <c r="GJ1928" s="1"/>
      <c r="GK1928" s="1"/>
      <c r="GL1928" s="1"/>
      <c r="GM1928" s="1"/>
      <c r="GN1928" s="1"/>
      <c r="GO1928" s="1"/>
      <c r="GP1928" s="1"/>
      <c r="GQ1928" s="1"/>
      <c r="GR1928" s="1"/>
      <c r="GS1928" s="1"/>
      <c r="GT1928" s="1"/>
      <c r="GU1928" s="1"/>
      <c r="GV1928" s="1"/>
      <c r="GW1928" s="1"/>
      <c r="GX1928" s="1"/>
      <c r="GY1928" s="1"/>
      <c r="GZ1928" s="1"/>
      <c r="HA1928" s="1"/>
      <c r="HB1928" s="1"/>
      <c r="HC1928" s="1"/>
      <c r="HD1928" s="1"/>
      <c r="HE1928" s="1"/>
      <c r="HF1928" s="1"/>
      <c r="HG1928" s="1"/>
      <c r="HH1928" s="1"/>
    </row>
    <row r="1929" spans="1:216" x14ac:dyDescent="0.3">
      <c r="A1929" s="3"/>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c r="EF1929" s="1"/>
      <c r="EG1929" s="1"/>
      <c r="EH1929" s="1"/>
      <c r="EI1929" s="1"/>
      <c r="EJ1929" s="1"/>
      <c r="EK1929" s="1"/>
      <c r="EL1929" s="1"/>
      <c r="EM1929" s="1"/>
      <c r="EN1929" s="1"/>
      <c r="EO1929" s="1"/>
      <c r="EP1929" s="1"/>
      <c r="EQ1929" s="1"/>
      <c r="ER1929" s="1"/>
      <c r="ES1929" s="1"/>
      <c r="ET1929" s="1"/>
      <c r="EU1929" s="1"/>
      <c r="EV1929" s="1"/>
      <c r="EW1929" s="1"/>
      <c r="EX1929" s="1"/>
      <c r="EY1929" s="1"/>
      <c r="EZ1929" s="1"/>
      <c r="FA1929" s="1"/>
      <c r="FB1929" s="1"/>
      <c r="FC1929" s="1"/>
      <c r="FD1929" s="1"/>
      <c r="FE1929" s="1"/>
      <c r="FF1929" s="1"/>
      <c r="FG1929" s="1"/>
      <c r="FH1929" s="1"/>
      <c r="FI1929" s="1"/>
      <c r="FJ1929" s="1"/>
      <c r="FK1929" s="1"/>
      <c r="FL1929" s="1"/>
      <c r="FM1929" s="1"/>
      <c r="FN1929" s="1"/>
      <c r="FO1929" s="1"/>
      <c r="FP1929" s="1"/>
      <c r="FQ1929" s="1"/>
      <c r="FR1929" s="1"/>
      <c r="FS1929" s="1"/>
      <c r="FT1929" s="1"/>
      <c r="FU1929" s="1"/>
      <c r="FV1929" s="1"/>
      <c r="FW1929" s="1"/>
      <c r="FX1929" s="1"/>
      <c r="FY1929" s="1"/>
      <c r="FZ1929" s="1"/>
      <c r="GA1929" s="1"/>
      <c r="GB1929" s="1"/>
      <c r="GC1929" s="1"/>
      <c r="GD1929" s="1"/>
      <c r="GE1929" s="1"/>
      <c r="GF1929" s="1"/>
      <c r="GG1929" s="1"/>
      <c r="GH1929" s="1"/>
      <c r="GI1929" s="1"/>
      <c r="GJ1929" s="1"/>
      <c r="GK1929" s="1"/>
      <c r="GL1929" s="1"/>
      <c r="GM1929" s="1"/>
      <c r="GN1929" s="1"/>
      <c r="GO1929" s="1"/>
      <c r="GP1929" s="1"/>
      <c r="GQ1929" s="1"/>
      <c r="GR1929" s="1"/>
      <c r="GS1929" s="1"/>
      <c r="GT1929" s="1"/>
      <c r="GU1929" s="1"/>
      <c r="GV1929" s="1"/>
      <c r="GW1929" s="1"/>
      <c r="GX1929" s="1"/>
      <c r="GY1929" s="1"/>
      <c r="GZ1929" s="1"/>
      <c r="HA1929" s="1"/>
      <c r="HB1929" s="1"/>
      <c r="HC1929" s="1"/>
      <c r="HD1929" s="1"/>
      <c r="HE1929" s="1"/>
      <c r="HF1929" s="1"/>
      <c r="HG1929" s="1"/>
      <c r="HH1929" s="1"/>
    </row>
    <row r="1930" spans="1:216" x14ac:dyDescent="0.3">
      <c r="A1930" s="3"/>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c r="EF1930" s="1"/>
      <c r="EG1930" s="1"/>
      <c r="EH1930" s="1"/>
      <c r="EI1930" s="1"/>
      <c r="EJ1930" s="1"/>
      <c r="EK1930" s="1"/>
      <c r="EL1930" s="1"/>
      <c r="EM1930" s="1"/>
      <c r="EN1930" s="1"/>
      <c r="EO1930" s="1"/>
      <c r="EP1930" s="1"/>
      <c r="EQ1930" s="1"/>
      <c r="ER1930" s="1"/>
      <c r="ES1930" s="1"/>
      <c r="ET1930" s="1"/>
      <c r="EU1930" s="1"/>
      <c r="EV1930" s="1"/>
      <c r="EW1930" s="1"/>
      <c r="EX1930" s="1"/>
      <c r="EY1930" s="1"/>
      <c r="EZ1930" s="1"/>
      <c r="FA1930" s="1"/>
      <c r="FB1930" s="1"/>
      <c r="FC1930" s="1"/>
      <c r="FD1930" s="1"/>
      <c r="FE1930" s="1"/>
      <c r="FF1930" s="1"/>
      <c r="FG1930" s="1"/>
      <c r="FH1930" s="1"/>
      <c r="FI1930" s="1"/>
      <c r="FJ1930" s="1"/>
      <c r="FK1930" s="1"/>
      <c r="FL1930" s="1"/>
      <c r="FM1930" s="1"/>
      <c r="FN1930" s="1"/>
      <c r="FO1930" s="1"/>
      <c r="FP1930" s="1"/>
      <c r="FQ1930" s="1"/>
      <c r="FR1930" s="1"/>
      <c r="FS1930" s="1"/>
      <c r="FT1930" s="1"/>
      <c r="FU1930" s="1"/>
      <c r="FV1930" s="1"/>
      <c r="FW1930" s="1"/>
      <c r="FX1930" s="1"/>
      <c r="FY1930" s="1"/>
      <c r="FZ1930" s="1"/>
      <c r="GA1930" s="1"/>
      <c r="GB1930" s="1"/>
      <c r="GC1930" s="1"/>
      <c r="GD1930" s="1"/>
      <c r="GE1930" s="1"/>
      <c r="GF1930" s="1"/>
      <c r="GG1930" s="1"/>
      <c r="GH1930" s="1"/>
      <c r="GI1930" s="1"/>
      <c r="GJ1930" s="1"/>
      <c r="GK1930" s="1"/>
      <c r="GL1930" s="1"/>
      <c r="GM1930" s="1"/>
      <c r="GN1930" s="1"/>
      <c r="GO1930" s="1"/>
      <c r="GP1930" s="1"/>
      <c r="GQ1930" s="1"/>
      <c r="GR1930" s="1"/>
      <c r="GS1930" s="1"/>
      <c r="GT1930" s="1"/>
      <c r="GU1930" s="1"/>
      <c r="GV1930" s="1"/>
      <c r="GW1930" s="1"/>
      <c r="GX1930" s="1"/>
      <c r="GY1930" s="1"/>
      <c r="GZ1930" s="1"/>
      <c r="HA1930" s="1"/>
      <c r="HB1930" s="1"/>
      <c r="HC1930" s="1"/>
      <c r="HD1930" s="1"/>
      <c r="HE1930" s="1"/>
      <c r="HF1930" s="1"/>
      <c r="HG1930" s="1"/>
      <c r="HH1930" s="1"/>
    </row>
    <row r="1931" spans="1:216" x14ac:dyDescent="0.3">
      <c r="A1931" s="3"/>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c r="EF1931" s="1"/>
      <c r="EG1931" s="1"/>
      <c r="EH1931" s="1"/>
      <c r="EI1931" s="1"/>
      <c r="EJ1931" s="1"/>
      <c r="EK1931" s="1"/>
      <c r="EL1931" s="1"/>
      <c r="EM1931" s="1"/>
      <c r="EN1931" s="1"/>
      <c r="EO1931" s="1"/>
      <c r="EP1931" s="1"/>
      <c r="EQ1931" s="1"/>
      <c r="ER1931" s="1"/>
      <c r="ES1931" s="1"/>
      <c r="ET1931" s="1"/>
      <c r="EU1931" s="1"/>
      <c r="EV1931" s="1"/>
      <c r="EW1931" s="1"/>
      <c r="EX1931" s="1"/>
      <c r="EY1931" s="1"/>
      <c r="EZ1931" s="1"/>
      <c r="FA1931" s="1"/>
      <c r="FB1931" s="1"/>
      <c r="FC1931" s="1"/>
      <c r="FD1931" s="1"/>
      <c r="FE1931" s="1"/>
      <c r="FF1931" s="1"/>
      <c r="FG1931" s="1"/>
      <c r="FH1931" s="1"/>
      <c r="FI1931" s="1"/>
      <c r="FJ1931" s="1"/>
      <c r="FK1931" s="1"/>
      <c r="FL1931" s="1"/>
      <c r="FM1931" s="1"/>
      <c r="FN1931" s="1"/>
      <c r="FO1931" s="1"/>
      <c r="FP1931" s="1"/>
      <c r="FQ1931" s="1"/>
      <c r="FR1931" s="1"/>
      <c r="FS1931" s="1"/>
      <c r="FT1931" s="1"/>
      <c r="FU1931" s="1"/>
      <c r="FV1931" s="1"/>
      <c r="FW1931" s="1"/>
      <c r="FX1931" s="1"/>
      <c r="FY1931" s="1"/>
      <c r="FZ1931" s="1"/>
      <c r="GA1931" s="1"/>
      <c r="GB1931" s="1"/>
      <c r="GC1931" s="1"/>
      <c r="GD1931" s="1"/>
      <c r="GE1931" s="1"/>
      <c r="GF1931" s="1"/>
      <c r="GG1931" s="1"/>
      <c r="GH1931" s="1"/>
      <c r="GI1931" s="1"/>
      <c r="GJ1931" s="1"/>
      <c r="GK1931" s="1"/>
      <c r="GL1931" s="1"/>
      <c r="GM1931" s="1"/>
      <c r="GN1931" s="1"/>
      <c r="GO1931" s="1"/>
      <c r="GP1931" s="1"/>
      <c r="GQ1931" s="1"/>
      <c r="GR1931" s="1"/>
      <c r="GS1931" s="1"/>
      <c r="GT1931" s="1"/>
      <c r="GU1931" s="1"/>
      <c r="GV1931" s="1"/>
      <c r="GW1931" s="1"/>
      <c r="GX1931" s="1"/>
      <c r="GY1931" s="1"/>
      <c r="GZ1931" s="1"/>
      <c r="HA1931" s="1"/>
      <c r="HB1931" s="1"/>
      <c r="HC1931" s="1"/>
      <c r="HD1931" s="1"/>
      <c r="HE1931" s="1"/>
      <c r="HF1931" s="1"/>
      <c r="HG1931" s="1"/>
      <c r="HH1931" s="1"/>
    </row>
    <row r="1932" spans="1:216" x14ac:dyDescent="0.3">
      <c r="A1932" s="3"/>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c r="EF1932" s="1"/>
      <c r="EG1932" s="1"/>
      <c r="EH1932" s="1"/>
      <c r="EI1932" s="1"/>
      <c r="EJ1932" s="1"/>
      <c r="EK1932" s="1"/>
      <c r="EL1932" s="1"/>
      <c r="EM1932" s="1"/>
      <c r="EN1932" s="1"/>
      <c r="EO1932" s="1"/>
      <c r="EP1932" s="1"/>
      <c r="EQ1932" s="1"/>
      <c r="ER1932" s="1"/>
      <c r="ES1932" s="1"/>
      <c r="ET1932" s="1"/>
      <c r="EU1932" s="1"/>
      <c r="EV1932" s="1"/>
      <c r="EW1932" s="1"/>
      <c r="EX1932" s="1"/>
      <c r="EY1932" s="1"/>
      <c r="EZ1932" s="1"/>
      <c r="FA1932" s="1"/>
      <c r="FB1932" s="1"/>
      <c r="FC1932" s="1"/>
      <c r="FD1932" s="1"/>
      <c r="FE1932" s="1"/>
      <c r="FF1932" s="1"/>
      <c r="FG1932" s="1"/>
      <c r="FH1932" s="1"/>
      <c r="FI1932" s="1"/>
      <c r="FJ1932" s="1"/>
      <c r="FK1932" s="1"/>
      <c r="FL1932" s="1"/>
      <c r="FM1932" s="1"/>
      <c r="FN1932" s="1"/>
      <c r="FO1932" s="1"/>
      <c r="FP1932" s="1"/>
      <c r="FQ1932" s="1"/>
      <c r="FR1932" s="1"/>
      <c r="FS1932" s="1"/>
      <c r="FT1932" s="1"/>
      <c r="FU1932" s="1"/>
      <c r="FV1932" s="1"/>
      <c r="FW1932" s="1"/>
      <c r="FX1932" s="1"/>
      <c r="FY1932" s="1"/>
      <c r="FZ1932" s="1"/>
      <c r="GA1932" s="1"/>
      <c r="GB1932" s="1"/>
      <c r="GC1932" s="1"/>
      <c r="GD1932" s="1"/>
      <c r="GE1932" s="1"/>
      <c r="GF1932" s="1"/>
      <c r="GG1932" s="1"/>
      <c r="GH1932" s="1"/>
      <c r="GI1932" s="1"/>
      <c r="GJ1932" s="1"/>
      <c r="GK1932" s="1"/>
      <c r="GL1932" s="1"/>
      <c r="GM1932" s="1"/>
      <c r="GN1932" s="1"/>
      <c r="GO1932" s="1"/>
      <c r="GP1932" s="1"/>
      <c r="GQ1932" s="1"/>
      <c r="GR1932" s="1"/>
      <c r="GS1932" s="1"/>
      <c r="GT1932" s="1"/>
      <c r="GU1932" s="1"/>
      <c r="GV1932" s="1"/>
      <c r="GW1932" s="1"/>
      <c r="GX1932" s="1"/>
      <c r="GY1932" s="1"/>
      <c r="GZ1932" s="1"/>
      <c r="HA1932" s="1"/>
      <c r="HB1932" s="1"/>
      <c r="HC1932" s="1"/>
      <c r="HD1932" s="1"/>
      <c r="HE1932" s="1"/>
      <c r="HF1932" s="1"/>
      <c r="HG1932" s="1"/>
      <c r="HH1932" s="1"/>
    </row>
    <row r="1933" spans="1:216" x14ac:dyDescent="0.3">
      <c r="A1933" s="3"/>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c r="EF1933" s="1"/>
      <c r="EG1933" s="1"/>
      <c r="EH1933" s="1"/>
      <c r="EI1933" s="1"/>
      <c r="EJ1933" s="1"/>
      <c r="EK1933" s="1"/>
      <c r="EL1933" s="1"/>
      <c r="EM1933" s="1"/>
      <c r="EN1933" s="1"/>
      <c r="EO1933" s="1"/>
      <c r="EP1933" s="1"/>
      <c r="EQ1933" s="1"/>
      <c r="ER1933" s="1"/>
      <c r="ES1933" s="1"/>
      <c r="ET1933" s="1"/>
      <c r="EU1933" s="1"/>
      <c r="EV1933" s="1"/>
      <c r="EW1933" s="1"/>
      <c r="EX1933" s="1"/>
      <c r="EY1933" s="1"/>
      <c r="EZ1933" s="1"/>
      <c r="FA1933" s="1"/>
      <c r="FB1933" s="1"/>
      <c r="FC1933" s="1"/>
      <c r="FD1933" s="1"/>
      <c r="FE1933" s="1"/>
      <c r="FF1933" s="1"/>
      <c r="FG1933" s="1"/>
      <c r="FH1933" s="1"/>
      <c r="FI1933" s="1"/>
      <c r="FJ1933" s="1"/>
      <c r="FK1933" s="1"/>
      <c r="FL1933" s="1"/>
      <c r="FM1933" s="1"/>
      <c r="FN1933" s="1"/>
      <c r="FO1933" s="1"/>
      <c r="FP1933" s="1"/>
      <c r="FQ1933" s="1"/>
      <c r="FR1933" s="1"/>
      <c r="FS1933" s="1"/>
      <c r="FT1933" s="1"/>
      <c r="FU1933" s="1"/>
      <c r="FV1933" s="1"/>
      <c r="FW1933" s="1"/>
      <c r="FX1933" s="1"/>
      <c r="FY1933" s="1"/>
      <c r="FZ1933" s="1"/>
      <c r="GA1933" s="1"/>
      <c r="GB1933" s="1"/>
      <c r="GC1933" s="1"/>
      <c r="GD1933" s="1"/>
      <c r="GE1933" s="1"/>
      <c r="GF1933" s="1"/>
      <c r="GG1933" s="1"/>
      <c r="GH1933" s="1"/>
      <c r="GI1933" s="1"/>
      <c r="GJ1933" s="1"/>
      <c r="GK1933" s="1"/>
      <c r="GL1933" s="1"/>
      <c r="GM1933" s="1"/>
      <c r="GN1933" s="1"/>
      <c r="GO1933" s="1"/>
      <c r="GP1933" s="1"/>
      <c r="GQ1933" s="1"/>
      <c r="GR1933" s="1"/>
      <c r="GS1933" s="1"/>
      <c r="GT1933" s="1"/>
      <c r="GU1933" s="1"/>
      <c r="GV1933" s="1"/>
      <c r="GW1933" s="1"/>
      <c r="GX1933" s="1"/>
      <c r="GY1933" s="1"/>
      <c r="GZ1933" s="1"/>
      <c r="HA1933" s="1"/>
      <c r="HB1933" s="1"/>
      <c r="HC1933" s="1"/>
      <c r="HD1933" s="1"/>
      <c r="HE1933" s="1"/>
      <c r="HF1933" s="1"/>
      <c r="HG1933" s="1"/>
      <c r="HH1933" s="1"/>
    </row>
    <row r="1934" spans="1:216" x14ac:dyDescent="0.3">
      <c r="A1934" s="3"/>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c r="EF1934" s="1"/>
      <c r="EG1934" s="1"/>
      <c r="EH1934" s="1"/>
      <c r="EI1934" s="1"/>
      <c r="EJ1934" s="1"/>
      <c r="EK1934" s="1"/>
      <c r="EL1934" s="1"/>
      <c r="EM1934" s="1"/>
      <c r="EN1934" s="1"/>
      <c r="EO1934" s="1"/>
      <c r="EP1934" s="1"/>
      <c r="EQ1934" s="1"/>
      <c r="ER1934" s="1"/>
      <c r="ES1934" s="1"/>
      <c r="ET1934" s="1"/>
      <c r="EU1934" s="1"/>
      <c r="EV1934" s="1"/>
      <c r="EW1934" s="1"/>
      <c r="EX1934" s="1"/>
      <c r="EY1934" s="1"/>
      <c r="EZ1934" s="1"/>
      <c r="FA1934" s="1"/>
      <c r="FB1934" s="1"/>
      <c r="FC1934" s="1"/>
      <c r="FD1934" s="1"/>
      <c r="FE1934" s="1"/>
      <c r="FF1934" s="1"/>
      <c r="FG1934" s="1"/>
      <c r="FH1934" s="1"/>
      <c r="FI1934" s="1"/>
      <c r="FJ1934" s="1"/>
      <c r="FK1934" s="1"/>
      <c r="FL1934" s="1"/>
      <c r="FM1934" s="1"/>
      <c r="FN1934" s="1"/>
      <c r="FO1934" s="1"/>
      <c r="FP1934" s="1"/>
      <c r="FQ1934" s="1"/>
      <c r="FR1934" s="1"/>
      <c r="FS1934" s="1"/>
      <c r="FT1934" s="1"/>
      <c r="FU1934" s="1"/>
      <c r="FV1934" s="1"/>
      <c r="FW1934" s="1"/>
      <c r="FX1934" s="1"/>
      <c r="FY1934" s="1"/>
      <c r="FZ1934" s="1"/>
      <c r="GA1934" s="1"/>
      <c r="GB1934" s="1"/>
      <c r="GC1934" s="1"/>
      <c r="GD1934" s="1"/>
      <c r="GE1934" s="1"/>
      <c r="GF1934" s="1"/>
      <c r="GG1934" s="1"/>
      <c r="GH1934" s="1"/>
      <c r="GI1934" s="1"/>
      <c r="GJ1934" s="1"/>
      <c r="GK1934" s="1"/>
      <c r="GL1934" s="1"/>
      <c r="GM1934" s="1"/>
      <c r="GN1934" s="1"/>
      <c r="GO1934" s="1"/>
      <c r="GP1934" s="1"/>
      <c r="GQ1934" s="1"/>
      <c r="GR1934" s="1"/>
      <c r="GS1934" s="1"/>
      <c r="GT1934" s="1"/>
      <c r="GU1934" s="1"/>
      <c r="GV1934" s="1"/>
      <c r="GW1934" s="1"/>
      <c r="GX1934" s="1"/>
      <c r="GY1934" s="1"/>
      <c r="GZ1934" s="1"/>
      <c r="HA1934" s="1"/>
      <c r="HB1934" s="1"/>
      <c r="HC1934" s="1"/>
      <c r="HD1934" s="1"/>
      <c r="HE1934" s="1"/>
      <c r="HF1934" s="1"/>
      <c r="HG1934" s="1"/>
      <c r="HH1934" s="1"/>
    </row>
    <row r="1935" spans="1:216" x14ac:dyDescent="0.3">
      <c r="A1935" s="3"/>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c r="EF1935" s="1"/>
      <c r="EG1935" s="1"/>
      <c r="EH1935" s="1"/>
      <c r="EI1935" s="1"/>
      <c r="EJ1935" s="1"/>
      <c r="EK1935" s="1"/>
      <c r="EL1935" s="1"/>
      <c r="EM1935" s="1"/>
      <c r="EN1935" s="1"/>
      <c r="EO1935" s="1"/>
      <c r="EP1935" s="1"/>
      <c r="EQ1935" s="1"/>
      <c r="ER1935" s="1"/>
      <c r="ES1935" s="1"/>
      <c r="ET1935" s="1"/>
      <c r="EU1935" s="1"/>
      <c r="EV1935" s="1"/>
      <c r="EW1935" s="1"/>
      <c r="EX1935" s="1"/>
      <c r="EY1935" s="1"/>
      <c r="EZ1935" s="1"/>
      <c r="FA1935" s="1"/>
      <c r="FB1935" s="1"/>
      <c r="FC1935" s="1"/>
      <c r="FD1935" s="1"/>
      <c r="FE1935" s="1"/>
      <c r="FF1935" s="1"/>
      <c r="FG1935" s="1"/>
      <c r="FH1935" s="1"/>
      <c r="FI1935" s="1"/>
      <c r="FJ1935" s="1"/>
      <c r="FK1935" s="1"/>
      <c r="FL1935" s="1"/>
      <c r="FM1935" s="1"/>
      <c r="FN1935" s="1"/>
      <c r="FO1935" s="1"/>
      <c r="FP1935" s="1"/>
      <c r="FQ1935" s="1"/>
      <c r="FR1935" s="1"/>
      <c r="FS1935" s="1"/>
      <c r="FT1935" s="1"/>
      <c r="FU1935" s="1"/>
      <c r="FV1935" s="1"/>
      <c r="FW1935" s="1"/>
      <c r="FX1935" s="1"/>
      <c r="FY1935" s="1"/>
      <c r="FZ1935" s="1"/>
      <c r="GA1935" s="1"/>
      <c r="GB1935" s="1"/>
      <c r="GC1935" s="1"/>
      <c r="GD1935" s="1"/>
      <c r="GE1935" s="1"/>
      <c r="GF1935" s="1"/>
      <c r="GG1935" s="1"/>
      <c r="GH1935" s="1"/>
      <c r="GI1935" s="1"/>
      <c r="GJ1935" s="1"/>
      <c r="GK1935" s="1"/>
      <c r="GL1935" s="1"/>
      <c r="GM1935" s="1"/>
      <c r="GN1935" s="1"/>
      <c r="GO1935" s="1"/>
      <c r="GP1935" s="1"/>
      <c r="GQ1935" s="1"/>
      <c r="GR1935" s="1"/>
      <c r="GS1935" s="1"/>
      <c r="GT1935" s="1"/>
      <c r="GU1935" s="1"/>
      <c r="GV1935" s="1"/>
      <c r="GW1935" s="1"/>
      <c r="GX1935" s="1"/>
      <c r="GY1935" s="1"/>
      <c r="GZ1935" s="1"/>
      <c r="HA1935" s="1"/>
      <c r="HB1935" s="1"/>
      <c r="HC1935" s="1"/>
      <c r="HD1935" s="1"/>
      <c r="HE1935" s="1"/>
      <c r="HF1935" s="1"/>
      <c r="HG1935" s="1"/>
      <c r="HH1935" s="1"/>
    </row>
    <row r="1936" spans="1:216" x14ac:dyDescent="0.3">
      <c r="A1936" s="3"/>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c r="EF1936" s="1"/>
      <c r="EG1936" s="1"/>
      <c r="EH1936" s="1"/>
      <c r="EI1936" s="1"/>
      <c r="EJ1936" s="1"/>
      <c r="EK1936" s="1"/>
      <c r="EL1936" s="1"/>
      <c r="EM1936" s="1"/>
      <c r="EN1936" s="1"/>
      <c r="EO1936" s="1"/>
      <c r="EP1936" s="1"/>
      <c r="EQ1936" s="1"/>
      <c r="ER1936" s="1"/>
      <c r="ES1936" s="1"/>
      <c r="ET1936" s="1"/>
      <c r="EU1936" s="1"/>
      <c r="EV1936" s="1"/>
      <c r="EW1936" s="1"/>
      <c r="EX1936" s="1"/>
      <c r="EY1936" s="1"/>
      <c r="EZ1936" s="1"/>
      <c r="FA1936" s="1"/>
      <c r="FB1936" s="1"/>
      <c r="FC1936" s="1"/>
      <c r="FD1936" s="1"/>
      <c r="FE1936" s="1"/>
      <c r="FF1936" s="1"/>
      <c r="FG1936" s="1"/>
      <c r="FH1936" s="1"/>
      <c r="FI1936" s="1"/>
      <c r="FJ1936" s="1"/>
      <c r="FK1936" s="1"/>
      <c r="FL1936" s="1"/>
      <c r="FM1936" s="1"/>
      <c r="FN1936" s="1"/>
      <c r="FO1936" s="1"/>
      <c r="FP1936" s="1"/>
      <c r="FQ1936" s="1"/>
      <c r="FR1936" s="1"/>
      <c r="FS1936" s="1"/>
      <c r="FT1936" s="1"/>
      <c r="FU1936" s="1"/>
      <c r="FV1936" s="1"/>
      <c r="FW1936" s="1"/>
      <c r="FX1936" s="1"/>
      <c r="FY1936" s="1"/>
      <c r="FZ1936" s="1"/>
      <c r="GA1936" s="1"/>
      <c r="GB1936" s="1"/>
      <c r="GC1936" s="1"/>
      <c r="GD1936" s="1"/>
      <c r="GE1936" s="1"/>
      <c r="GF1936" s="1"/>
      <c r="GG1936" s="1"/>
      <c r="GH1936" s="1"/>
      <c r="GI1936" s="1"/>
      <c r="GJ1936" s="1"/>
      <c r="GK1936" s="1"/>
      <c r="GL1936" s="1"/>
      <c r="GM1936" s="1"/>
      <c r="GN1936" s="1"/>
      <c r="GO1936" s="1"/>
      <c r="GP1936" s="1"/>
      <c r="GQ1936" s="1"/>
      <c r="GR1936" s="1"/>
      <c r="GS1936" s="1"/>
      <c r="GT1936" s="1"/>
      <c r="GU1936" s="1"/>
      <c r="GV1936" s="1"/>
      <c r="GW1936" s="1"/>
      <c r="GX1936" s="1"/>
      <c r="GY1936" s="1"/>
      <c r="GZ1936" s="1"/>
      <c r="HA1936" s="1"/>
      <c r="HB1936" s="1"/>
      <c r="HC1936" s="1"/>
      <c r="HD1936" s="1"/>
      <c r="HE1936" s="1"/>
      <c r="HF1936" s="1"/>
      <c r="HG1936" s="1"/>
      <c r="HH1936" s="1"/>
    </row>
    <row r="1937" spans="1:216" x14ac:dyDescent="0.3">
      <c r="A1937" s="3"/>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c r="EF1937" s="1"/>
      <c r="EG1937" s="1"/>
      <c r="EH1937" s="1"/>
      <c r="EI1937" s="1"/>
      <c r="EJ1937" s="1"/>
      <c r="EK1937" s="1"/>
      <c r="EL1937" s="1"/>
      <c r="EM1937" s="1"/>
      <c r="EN1937" s="1"/>
      <c r="EO1937" s="1"/>
      <c r="EP1937" s="1"/>
      <c r="EQ1937" s="1"/>
      <c r="ER1937" s="1"/>
      <c r="ES1937" s="1"/>
      <c r="ET1937" s="1"/>
      <c r="EU1937" s="1"/>
      <c r="EV1937" s="1"/>
      <c r="EW1937" s="1"/>
      <c r="EX1937" s="1"/>
      <c r="EY1937" s="1"/>
      <c r="EZ1937" s="1"/>
      <c r="FA1937" s="1"/>
      <c r="FB1937" s="1"/>
      <c r="FC1937" s="1"/>
      <c r="FD1937" s="1"/>
      <c r="FE1937" s="1"/>
      <c r="FF1937" s="1"/>
      <c r="FG1937" s="1"/>
      <c r="FH1937" s="1"/>
      <c r="FI1937" s="1"/>
      <c r="FJ1937" s="1"/>
      <c r="FK1937" s="1"/>
      <c r="FL1937" s="1"/>
      <c r="FM1937" s="1"/>
      <c r="FN1937" s="1"/>
      <c r="FO1937" s="1"/>
      <c r="FP1937" s="1"/>
      <c r="FQ1937" s="1"/>
      <c r="FR1937" s="1"/>
      <c r="FS1937" s="1"/>
      <c r="FT1937" s="1"/>
      <c r="FU1937" s="1"/>
      <c r="FV1937" s="1"/>
      <c r="FW1937" s="1"/>
      <c r="FX1937" s="1"/>
      <c r="FY1937" s="1"/>
      <c r="FZ1937" s="1"/>
      <c r="GA1937" s="1"/>
      <c r="GB1937" s="1"/>
      <c r="GC1937" s="1"/>
      <c r="GD1937" s="1"/>
      <c r="GE1937" s="1"/>
      <c r="GF1937" s="1"/>
      <c r="GG1937" s="1"/>
      <c r="GH1937" s="1"/>
      <c r="GI1937" s="1"/>
      <c r="GJ1937" s="1"/>
      <c r="GK1937" s="1"/>
      <c r="GL1937" s="1"/>
      <c r="GM1937" s="1"/>
      <c r="GN1937" s="1"/>
      <c r="GO1937" s="1"/>
      <c r="GP1937" s="1"/>
      <c r="GQ1937" s="1"/>
      <c r="GR1937" s="1"/>
      <c r="GS1937" s="1"/>
      <c r="GT1937" s="1"/>
      <c r="GU1937" s="1"/>
      <c r="GV1937" s="1"/>
      <c r="GW1937" s="1"/>
      <c r="GX1937" s="1"/>
      <c r="GY1937" s="1"/>
      <c r="GZ1937" s="1"/>
      <c r="HA1937" s="1"/>
      <c r="HB1937" s="1"/>
      <c r="HC1937" s="1"/>
      <c r="HD1937" s="1"/>
      <c r="HE1937" s="1"/>
      <c r="HF1937" s="1"/>
      <c r="HG1937" s="1"/>
      <c r="HH1937" s="1"/>
    </row>
    <row r="1938" spans="1:216" x14ac:dyDescent="0.3">
      <c r="A1938" s="3"/>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c r="EF1938" s="1"/>
      <c r="EG1938" s="1"/>
      <c r="EH1938" s="1"/>
      <c r="EI1938" s="1"/>
      <c r="EJ1938" s="1"/>
      <c r="EK1938" s="1"/>
      <c r="EL1938" s="1"/>
      <c r="EM1938" s="1"/>
      <c r="EN1938" s="1"/>
      <c r="EO1938" s="1"/>
      <c r="EP1938" s="1"/>
      <c r="EQ1938" s="1"/>
      <c r="ER1938" s="1"/>
      <c r="ES1938" s="1"/>
      <c r="ET1938" s="1"/>
      <c r="EU1938" s="1"/>
      <c r="EV1938" s="1"/>
      <c r="EW1938" s="1"/>
      <c r="EX1938" s="1"/>
      <c r="EY1938" s="1"/>
      <c r="EZ1938" s="1"/>
      <c r="FA1938" s="1"/>
      <c r="FB1938" s="1"/>
      <c r="FC1938" s="1"/>
      <c r="FD1938" s="1"/>
      <c r="FE1938" s="1"/>
      <c r="FF1938" s="1"/>
      <c r="FG1938" s="1"/>
      <c r="FH1938" s="1"/>
      <c r="FI1938" s="1"/>
      <c r="FJ1938" s="1"/>
      <c r="FK1938" s="1"/>
      <c r="FL1938" s="1"/>
      <c r="FM1938" s="1"/>
      <c r="FN1938" s="1"/>
      <c r="FO1938" s="1"/>
      <c r="FP1938" s="1"/>
      <c r="FQ1938" s="1"/>
      <c r="FR1938" s="1"/>
      <c r="FS1938" s="1"/>
      <c r="FT1938" s="1"/>
      <c r="FU1938" s="1"/>
      <c r="FV1938" s="1"/>
      <c r="FW1938" s="1"/>
      <c r="FX1938" s="1"/>
      <c r="FY1938" s="1"/>
      <c r="FZ1938" s="1"/>
      <c r="GA1938" s="1"/>
      <c r="GB1938" s="1"/>
      <c r="GC1938" s="1"/>
      <c r="GD1938" s="1"/>
      <c r="GE1938" s="1"/>
      <c r="GF1938" s="1"/>
      <c r="GG1938" s="1"/>
      <c r="GH1938" s="1"/>
      <c r="GI1938" s="1"/>
      <c r="GJ1938" s="1"/>
      <c r="GK1938" s="1"/>
      <c r="GL1938" s="1"/>
      <c r="GM1938" s="1"/>
      <c r="GN1938" s="1"/>
      <c r="GO1938" s="1"/>
      <c r="GP1938" s="1"/>
      <c r="GQ1938" s="1"/>
      <c r="GR1938" s="1"/>
      <c r="GS1938" s="1"/>
      <c r="GT1938" s="1"/>
      <c r="GU1938" s="1"/>
      <c r="GV1938" s="1"/>
      <c r="GW1938" s="1"/>
      <c r="GX1938" s="1"/>
      <c r="GY1938" s="1"/>
      <c r="GZ1938" s="1"/>
      <c r="HA1938" s="1"/>
      <c r="HB1938" s="1"/>
      <c r="HC1938" s="1"/>
      <c r="HD1938" s="1"/>
      <c r="HE1938" s="1"/>
      <c r="HF1938" s="1"/>
      <c r="HG1938" s="1"/>
      <c r="HH1938" s="1"/>
    </row>
    <row r="1939" spans="1:216" x14ac:dyDescent="0.3">
      <c r="A1939" s="3"/>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c r="EF1939" s="1"/>
      <c r="EG1939" s="1"/>
      <c r="EH1939" s="1"/>
      <c r="EI1939" s="1"/>
      <c r="EJ1939" s="1"/>
      <c r="EK1939" s="1"/>
      <c r="EL1939" s="1"/>
      <c r="EM1939" s="1"/>
      <c r="EN1939" s="1"/>
      <c r="EO1939" s="1"/>
      <c r="EP1939" s="1"/>
      <c r="EQ1939" s="1"/>
      <c r="ER1939" s="1"/>
      <c r="ES1939" s="1"/>
      <c r="ET1939" s="1"/>
      <c r="EU1939" s="1"/>
      <c r="EV1939" s="1"/>
      <c r="EW1939" s="1"/>
      <c r="EX1939" s="1"/>
      <c r="EY1939" s="1"/>
      <c r="EZ1939" s="1"/>
      <c r="FA1939" s="1"/>
      <c r="FB1939" s="1"/>
      <c r="FC1939" s="1"/>
      <c r="FD1939" s="1"/>
      <c r="FE1939" s="1"/>
      <c r="FF1939" s="1"/>
      <c r="FG1939" s="1"/>
      <c r="FH1939" s="1"/>
      <c r="FI1939" s="1"/>
      <c r="FJ1939" s="1"/>
      <c r="FK1939" s="1"/>
      <c r="FL1939" s="1"/>
      <c r="FM1939" s="1"/>
      <c r="FN1939" s="1"/>
      <c r="FO1939" s="1"/>
      <c r="FP1939" s="1"/>
      <c r="FQ1939" s="1"/>
      <c r="FR1939" s="1"/>
      <c r="FS1939" s="1"/>
      <c r="FT1939" s="1"/>
      <c r="FU1939" s="1"/>
      <c r="FV1939" s="1"/>
      <c r="FW1939" s="1"/>
      <c r="FX1939" s="1"/>
      <c r="FY1939" s="1"/>
      <c r="FZ1939" s="1"/>
      <c r="GA1939" s="1"/>
      <c r="GB1939" s="1"/>
      <c r="GC1939" s="1"/>
      <c r="GD1939" s="1"/>
      <c r="GE1939" s="1"/>
      <c r="GF1939" s="1"/>
      <c r="GG1939" s="1"/>
      <c r="GH1939" s="1"/>
      <c r="GI1939" s="1"/>
      <c r="GJ1939" s="1"/>
      <c r="GK1939" s="1"/>
      <c r="GL1939" s="1"/>
      <c r="GM1939" s="1"/>
      <c r="GN1939" s="1"/>
      <c r="GO1939" s="1"/>
      <c r="GP1939" s="1"/>
      <c r="GQ1939" s="1"/>
      <c r="GR1939" s="1"/>
      <c r="GS1939" s="1"/>
      <c r="GT1939" s="1"/>
      <c r="GU1939" s="1"/>
      <c r="GV1939" s="1"/>
      <c r="GW1939" s="1"/>
      <c r="GX1939" s="1"/>
      <c r="GY1939" s="1"/>
      <c r="GZ1939" s="1"/>
      <c r="HA1939" s="1"/>
      <c r="HB1939" s="1"/>
      <c r="HC1939" s="1"/>
      <c r="HD1939" s="1"/>
      <c r="HE1939" s="1"/>
      <c r="HF1939" s="1"/>
      <c r="HG1939" s="1"/>
      <c r="HH1939" s="1"/>
    </row>
    <row r="1940" spans="1:216" x14ac:dyDescent="0.3">
      <c r="A1940" s="3"/>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c r="EF1940" s="1"/>
      <c r="EG1940" s="1"/>
      <c r="EH1940" s="1"/>
      <c r="EI1940" s="1"/>
      <c r="EJ1940" s="1"/>
      <c r="EK1940" s="1"/>
      <c r="EL1940" s="1"/>
      <c r="EM1940" s="1"/>
      <c r="EN1940" s="1"/>
      <c r="EO1940" s="1"/>
      <c r="EP1940" s="1"/>
      <c r="EQ1940" s="1"/>
      <c r="ER1940" s="1"/>
      <c r="ES1940" s="1"/>
      <c r="ET1940" s="1"/>
      <c r="EU1940" s="1"/>
      <c r="EV1940" s="1"/>
      <c r="EW1940" s="1"/>
      <c r="EX1940" s="1"/>
      <c r="EY1940" s="1"/>
      <c r="EZ1940" s="1"/>
      <c r="FA1940" s="1"/>
      <c r="FB1940" s="1"/>
      <c r="FC1940" s="1"/>
      <c r="FD1940" s="1"/>
      <c r="FE1940" s="1"/>
      <c r="FF1940" s="1"/>
      <c r="FG1940" s="1"/>
      <c r="FH1940" s="1"/>
      <c r="FI1940" s="1"/>
      <c r="FJ1940" s="1"/>
      <c r="FK1940" s="1"/>
      <c r="FL1940" s="1"/>
      <c r="FM1940" s="1"/>
      <c r="FN1940" s="1"/>
      <c r="FO1940" s="1"/>
      <c r="FP1940" s="1"/>
      <c r="FQ1940" s="1"/>
      <c r="FR1940" s="1"/>
      <c r="FS1940" s="1"/>
      <c r="FT1940" s="1"/>
      <c r="FU1940" s="1"/>
      <c r="FV1940" s="1"/>
      <c r="FW1940" s="1"/>
      <c r="FX1940" s="1"/>
      <c r="FY1940" s="1"/>
      <c r="FZ1940" s="1"/>
      <c r="GA1940" s="1"/>
      <c r="GB1940" s="1"/>
      <c r="GC1940" s="1"/>
      <c r="GD1940" s="1"/>
      <c r="GE1940" s="1"/>
      <c r="GF1940" s="1"/>
      <c r="GG1940" s="1"/>
      <c r="GH1940" s="1"/>
      <c r="GI1940" s="1"/>
      <c r="GJ1940" s="1"/>
      <c r="GK1940" s="1"/>
      <c r="GL1940" s="1"/>
      <c r="GM1940" s="1"/>
      <c r="GN1940" s="1"/>
      <c r="GO1940" s="1"/>
      <c r="GP1940" s="1"/>
      <c r="GQ1940" s="1"/>
      <c r="GR1940" s="1"/>
      <c r="GS1940" s="1"/>
      <c r="GT1940" s="1"/>
      <c r="GU1940" s="1"/>
      <c r="GV1940" s="1"/>
      <c r="GW1940" s="1"/>
      <c r="GX1940" s="1"/>
      <c r="GY1940" s="1"/>
      <c r="GZ1940" s="1"/>
      <c r="HA1940" s="1"/>
      <c r="HB1940" s="1"/>
      <c r="HC1940" s="1"/>
      <c r="HD1940" s="1"/>
      <c r="HE1940" s="1"/>
      <c r="HF1940" s="1"/>
      <c r="HG1940" s="1"/>
      <c r="HH1940" s="1"/>
    </row>
    <row r="1941" spans="1:216" x14ac:dyDescent="0.3">
      <c r="A1941" s="3"/>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
      <c r="DQ1941" s="1"/>
      <c r="DR1941" s="1"/>
      <c r="DS1941" s="1"/>
      <c r="DT1941" s="1"/>
      <c r="DU1941" s="1"/>
      <c r="DV1941" s="1"/>
      <c r="DW1941" s="1"/>
      <c r="DX1941" s="1"/>
      <c r="DY1941" s="1"/>
      <c r="DZ1941" s="1"/>
      <c r="EA1941" s="1"/>
      <c r="EB1941" s="1"/>
      <c r="EC1941" s="1"/>
      <c r="ED1941" s="1"/>
      <c r="EE1941" s="1"/>
      <c r="EF1941" s="1"/>
      <c r="EG1941" s="1"/>
      <c r="EH1941" s="1"/>
      <c r="EI1941" s="1"/>
      <c r="EJ1941" s="1"/>
      <c r="EK1941" s="1"/>
      <c r="EL1941" s="1"/>
      <c r="EM1941" s="1"/>
      <c r="EN1941" s="1"/>
      <c r="EO1941" s="1"/>
      <c r="EP1941" s="1"/>
      <c r="EQ1941" s="1"/>
      <c r="ER1941" s="1"/>
      <c r="ES1941" s="1"/>
      <c r="ET1941" s="1"/>
      <c r="EU1941" s="1"/>
      <c r="EV1941" s="1"/>
      <c r="EW1941" s="1"/>
      <c r="EX1941" s="1"/>
      <c r="EY1941" s="1"/>
      <c r="EZ1941" s="1"/>
      <c r="FA1941" s="1"/>
      <c r="FB1941" s="1"/>
      <c r="FC1941" s="1"/>
      <c r="FD1941" s="1"/>
      <c r="FE1941" s="1"/>
      <c r="FF1941" s="1"/>
      <c r="FG1941" s="1"/>
      <c r="FH1941" s="1"/>
      <c r="FI1941" s="1"/>
      <c r="FJ1941" s="1"/>
      <c r="FK1941" s="1"/>
      <c r="FL1941" s="1"/>
      <c r="FM1941" s="1"/>
      <c r="FN1941" s="1"/>
      <c r="FO1941" s="1"/>
      <c r="FP1941" s="1"/>
      <c r="FQ1941" s="1"/>
      <c r="FR1941" s="1"/>
      <c r="FS1941" s="1"/>
      <c r="FT1941" s="1"/>
      <c r="FU1941" s="1"/>
      <c r="FV1941" s="1"/>
      <c r="FW1941" s="1"/>
      <c r="FX1941" s="1"/>
      <c r="FY1941" s="1"/>
      <c r="FZ1941" s="1"/>
      <c r="GA1941" s="1"/>
      <c r="GB1941" s="1"/>
      <c r="GC1941" s="1"/>
      <c r="GD1941" s="1"/>
      <c r="GE1941" s="1"/>
      <c r="GF1941" s="1"/>
      <c r="GG1941" s="1"/>
      <c r="GH1941" s="1"/>
      <c r="GI1941" s="1"/>
      <c r="GJ1941" s="1"/>
      <c r="GK1941" s="1"/>
      <c r="GL1941" s="1"/>
      <c r="GM1941" s="1"/>
      <c r="GN1941" s="1"/>
      <c r="GO1941" s="1"/>
      <c r="GP1941" s="1"/>
      <c r="GQ1941" s="1"/>
      <c r="GR1941" s="1"/>
      <c r="GS1941" s="1"/>
      <c r="GT1941" s="1"/>
      <c r="GU1941" s="1"/>
      <c r="GV1941" s="1"/>
      <c r="GW1941" s="1"/>
      <c r="GX1941" s="1"/>
      <c r="GY1941" s="1"/>
      <c r="GZ1941" s="1"/>
      <c r="HA1941" s="1"/>
      <c r="HB1941" s="1"/>
      <c r="HC1941" s="1"/>
      <c r="HD1941" s="1"/>
      <c r="HE1941" s="1"/>
      <c r="HF1941" s="1"/>
      <c r="HG1941" s="1"/>
      <c r="HH1941" s="1"/>
    </row>
    <row r="1942" spans="1:216" x14ac:dyDescent="0.3">
      <c r="A1942" s="3"/>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c r="DU1942" s="1"/>
      <c r="DV1942" s="1"/>
      <c r="DW1942" s="1"/>
      <c r="DX1942" s="1"/>
      <c r="DY1942" s="1"/>
      <c r="DZ1942" s="1"/>
      <c r="EA1942" s="1"/>
      <c r="EB1942" s="1"/>
      <c r="EC1942" s="1"/>
      <c r="ED1942" s="1"/>
      <c r="EE1942" s="1"/>
      <c r="EF1942" s="1"/>
      <c r="EG1942" s="1"/>
      <c r="EH1942" s="1"/>
      <c r="EI1942" s="1"/>
      <c r="EJ1942" s="1"/>
      <c r="EK1942" s="1"/>
      <c r="EL1942" s="1"/>
      <c r="EM1942" s="1"/>
      <c r="EN1942" s="1"/>
      <c r="EO1942" s="1"/>
      <c r="EP1942" s="1"/>
      <c r="EQ1942" s="1"/>
      <c r="ER1942" s="1"/>
      <c r="ES1942" s="1"/>
      <c r="ET1942" s="1"/>
      <c r="EU1942" s="1"/>
      <c r="EV1942" s="1"/>
      <c r="EW1942" s="1"/>
      <c r="EX1942" s="1"/>
      <c r="EY1942" s="1"/>
      <c r="EZ1942" s="1"/>
      <c r="FA1942" s="1"/>
      <c r="FB1942" s="1"/>
      <c r="FC1942" s="1"/>
      <c r="FD1942" s="1"/>
      <c r="FE1942" s="1"/>
      <c r="FF1942" s="1"/>
      <c r="FG1942" s="1"/>
      <c r="FH1942" s="1"/>
      <c r="FI1942" s="1"/>
      <c r="FJ1942" s="1"/>
      <c r="FK1942" s="1"/>
      <c r="FL1942" s="1"/>
      <c r="FM1942" s="1"/>
      <c r="FN1942" s="1"/>
      <c r="FO1942" s="1"/>
      <c r="FP1942" s="1"/>
      <c r="FQ1942" s="1"/>
      <c r="FR1942" s="1"/>
      <c r="FS1942" s="1"/>
      <c r="FT1942" s="1"/>
      <c r="FU1942" s="1"/>
      <c r="FV1942" s="1"/>
      <c r="FW1942" s="1"/>
      <c r="FX1942" s="1"/>
      <c r="FY1942" s="1"/>
      <c r="FZ1942" s="1"/>
      <c r="GA1942" s="1"/>
      <c r="GB1942" s="1"/>
      <c r="GC1942" s="1"/>
      <c r="GD1942" s="1"/>
      <c r="GE1942" s="1"/>
      <c r="GF1942" s="1"/>
      <c r="GG1942" s="1"/>
      <c r="GH1942" s="1"/>
      <c r="GI1942" s="1"/>
      <c r="GJ1942" s="1"/>
      <c r="GK1942" s="1"/>
      <c r="GL1942" s="1"/>
      <c r="GM1942" s="1"/>
      <c r="GN1942" s="1"/>
      <c r="GO1942" s="1"/>
      <c r="GP1942" s="1"/>
      <c r="GQ1942" s="1"/>
      <c r="GR1942" s="1"/>
      <c r="GS1942" s="1"/>
      <c r="GT1942" s="1"/>
      <c r="GU1942" s="1"/>
      <c r="GV1942" s="1"/>
      <c r="GW1942" s="1"/>
      <c r="GX1942" s="1"/>
      <c r="GY1942" s="1"/>
      <c r="GZ1942" s="1"/>
      <c r="HA1942" s="1"/>
      <c r="HB1942" s="1"/>
      <c r="HC1942" s="1"/>
      <c r="HD1942" s="1"/>
      <c r="HE1942" s="1"/>
      <c r="HF1942" s="1"/>
      <c r="HG1942" s="1"/>
      <c r="HH1942" s="1"/>
    </row>
    <row r="1943" spans="1:216" x14ac:dyDescent="0.3">
      <c r="A1943" s="3"/>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c r="DU1943" s="1"/>
      <c r="DV1943" s="1"/>
      <c r="DW1943" s="1"/>
      <c r="DX1943" s="1"/>
      <c r="DY1943" s="1"/>
      <c r="DZ1943" s="1"/>
      <c r="EA1943" s="1"/>
      <c r="EB1943" s="1"/>
      <c r="EC1943" s="1"/>
      <c r="ED1943" s="1"/>
      <c r="EE1943" s="1"/>
      <c r="EF1943" s="1"/>
      <c r="EG1943" s="1"/>
      <c r="EH1943" s="1"/>
      <c r="EI1943" s="1"/>
      <c r="EJ1943" s="1"/>
      <c r="EK1943" s="1"/>
      <c r="EL1943" s="1"/>
      <c r="EM1943" s="1"/>
      <c r="EN1943" s="1"/>
      <c r="EO1943" s="1"/>
      <c r="EP1943" s="1"/>
      <c r="EQ1943" s="1"/>
      <c r="ER1943" s="1"/>
      <c r="ES1943" s="1"/>
      <c r="ET1943" s="1"/>
      <c r="EU1943" s="1"/>
      <c r="EV1943" s="1"/>
      <c r="EW1943" s="1"/>
      <c r="EX1943" s="1"/>
      <c r="EY1943" s="1"/>
      <c r="EZ1943" s="1"/>
      <c r="FA1943" s="1"/>
      <c r="FB1943" s="1"/>
      <c r="FC1943" s="1"/>
      <c r="FD1943" s="1"/>
      <c r="FE1943" s="1"/>
      <c r="FF1943" s="1"/>
      <c r="FG1943" s="1"/>
      <c r="FH1943" s="1"/>
      <c r="FI1943" s="1"/>
      <c r="FJ1943" s="1"/>
      <c r="FK1943" s="1"/>
      <c r="FL1943" s="1"/>
      <c r="FM1943" s="1"/>
      <c r="FN1943" s="1"/>
      <c r="FO1943" s="1"/>
      <c r="FP1943" s="1"/>
      <c r="FQ1943" s="1"/>
      <c r="FR1943" s="1"/>
      <c r="FS1943" s="1"/>
      <c r="FT1943" s="1"/>
      <c r="FU1943" s="1"/>
      <c r="FV1943" s="1"/>
      <c r="FW1943" s="1"/>
      <c r="FX1943" s="1"/>
      <c r="FY1943" s="1"/>
      <c r="FZ1943" s="1"/>
      <c r="GA1943" s="1"/>
      <c r="GB1943" s="1"/>
      <c r="GC1943" s="1"/>
      <c r="GD1943" s="1"/>
      <c r="GE1943" s="1"/>
      <c r="GF1943" s="1"/>
      <c r="GG1943" s="1"/>
      <c r="GH1943" s="1"/>
      <c r="GI1943" s="1"/>
      <c r="GJ1943" s="1"/>
      <c r="GK1943" s="1"/>
      <c r="GL1943" s="1"/>
      <c r="GM1943" s="1"/>
      <c r="GN1943" s="1"/>
      <c r="GO1943" s="1"/>
      <c r="GP1943" s="1"/>
      <c r="GQ1943" s="1"/>
      <c r="GR1943" s="1"/>
      <c r="GS1943" s="1"/>
      <c r="GT1943" s="1"/>
      <c r="GU1943" s="1"/>
      <c r="GV1943" s="1"/>
      <c r="GW1943" s="1"/>
      <c r="GX1943" s="1"/>
      <c r="GY1943" s="1"/>
      <c r="GZ1943" s="1"/>
      <c r="HA1943" s="1"/>
      <c r="HB1943" s="1"/>
      <c r="HC1943" s="1"/>
      <c r="HD1943" s="1"/>
      <c r="HE1943" s="1"/>
      <c r="HF1943" s="1"/>
      <c r="HG1943" s="1"/>
      <c r="HH1943" s="1"/>
    </row>
    <row r="1944" spans="1:216" x14ac:dyDescent="0.3">
      <c r="A1944" s="3"/>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
      <c r="DQ1944" s="1"/>
      <c r="DR1944" s="1"/>
      <c r="DS1944" s="1"/>
      <c r="DT1944" s="1"/>
      <c r="DU1944" s="1"/>
      <c r="DV1944" s="1"/>
      <c r="DW1944" s="1"/>
      <c r="DX1944" s="1"/>
      <c r="DY1944" s="1"/>
      <c r="DZ1944" s="1"/>
      <c r="EA1944" s="1"/>
      <c r="EB1944" s="1"/>
      <c r="EC1944" s="1"/>
      <c r="ED1944" s="1"/>
      <c r="EE1944" s="1"/>
      <c r="EF1944" s="1"/>
      <c r="EG1944" s="1"/>
      <c r="EH1944" s="1"/>
      <c r="EI1944" s="1"/>
      <c r="EJ1944" s="1"/>
      <c r="EK1944" s="1"/>
      <c r="EL1944" s="1"/>
      <c r="EM1944" s="1"/>
      <c r="EN1944" s="1"/>
      <c r="EO1944" s="1"/>
      <c r="EP1944" s="1"/>
      <c r="EQ1944" s="1"/>
      <c r="ER1944" s="1"/>
      <c r="ES1944" s="1"/>
      <c r="ET1944" s="1"/>
      <c r="EU1944" s="1"/>
      <c r="EV1944" s="1"/>
      <c r="EW1944" s="1"/>
      <c r="EX1944" s="1"/>
      <c r="EY1944" s="1"/>
      <c r="EZ1944" s="1"/>
      <c r="FA1944" s="1"/>
      <c r="FB1944" s="1"/>
      <c r="FC1944" s="1"/>
      <c r="FD1944" s="1"/>
      <c r="FE1944" s="1"/>
      <c r="FF1944" s="1"/>
      <c r="FG1944" s="1"/>
      <c r="FH1944" s="1"/>
      <c r="FI1944" s="1"/>
      <c r="FJ1944" s="1"/>
      <c r="FK1944" s="1"/>
      <c r="FL1944" s="1"/>
      <c r="FM1944" s="1"/>
      <c r="FN1944" s="1"/>
      <c r="FO1944" s="1"/>
      <c r="FP1944" s="1"/>
      <c r="FQ1944" s="1"/>
      <c r="FR1944" s="1"/>
      <c r="FS1944" s="1"/>
      <c r="FT1944" s="1"/>
      <c r="FU1944" s="1"/>
      <c r="FV1944" s="1"/>
      <c r="FW1944" s="1"/>
      <c r="FX1944" s="1"/>
      <c r="FY1944" s="1"/>
      <c r="FZ1944" s="1"/>
      <c r="GA1944" s="1"/>
      <c r="GB1944" s="1"/>
      <c r="GC1944" s="1"/>
      <c r="GD1944" s="1"/>
      <c r="GE1944" s="1"/>
      <c r="GF1944" s="1"/>
      <c r="GG1944" s="1"/>
      <c r="GH1944" s="1"/>
      <c r="GI1944" s="1"/>
      <c r="GJ1944" s="1"/>
      <c r="GK1944" s="1"/>
      <c r="GL1944" s="1"/>
      <c r="GM1944" s="1"/>
      <c r="GN1944" s="1"/>
      <c r="GO1944" s="1"/>
      <c r="GP1944" s="1"/>
      <c r="GQ1944" s="1"/>
      <c r="GR1944" s="1"/>
      <c r="GS1944" s="1"/>
      <c r="GT1944" s="1"/>
      <c r="GU1944" s="1"/>
      <c r="GV1944" s="1"/>
      <c r="GW1944" s="1"/>
      <c r="GX1944" s="1"/>
      <c r="GY1944" s="1"/>
      <c r="GZ1944" s="1"/>
      <c r="HA1944" s="1"/>
      <c r="HB1944" s="1"/>
      <c r="HC1944" s="1"/>
      <c r="HD1944" s="1"/>
      <c r="HE1944" s="1"/>
      <c r="HF1944" s="1"/>
      <c r="HG1944" s="1"/>
      <c r="HH1944" s="1"/>
    </row>
    <row r="1945" spans="1:216" x14ac:dyDescent="0.3">
      <c r="A1945" s="3"/>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
      <c r="DQ1945" s="1"/>
      <c r="DR1945" s="1"/>
      <c r="DS1945" s="1"/>
      <c r="DT1945" s="1"/>
      <c r="DU1945" s="1"/>
      <c r="DV1945" s="1"/>
      <c r="DW1945" s="1"/>
      <c r="DX1945" s="1"/>
      <c r="DY1945" s="1"/>
      <c r="DZ1945" s="1"/>
      <c r="EA1945" s="1"/>
      <c r="EB1945" s="1"/>
      <c r="EC1945" s="1"/>
      <c r="ED1945" s="1"/>
      <c r="EE1945" s="1"/>
      <c r="EF1945" s="1"/>
      <c r="EG1945" s="1"/>
      <c r="EH1945" s="1"/>
      <c r="EI1945" s="1"/>
      <c r="EJ1945" s="1"/>
      <c r="EK1945" s="1"/>
      <c r="EL1945" s="1"/>
      <c r="EM1945" s="1"/>
      <c r="EN1945" s="1"/>
      <c r="EO1945" s="1"/>
      <c r="EP1945" s="1"/>
      <c r="EQ1945" s="1"/>
      <c r="ER1945" s="1"/>
      <c r="ES1945" s="1"/>
      <c r="ET1945" s="1"/>
      <c r="EU1945" s="1"/>
      <c r="EV1945" s="1"/>
      <c r="EW1945" s="1"/>
      <c r="EX1945" s="1"/>
      <c r="EY1945" s="1"/>
      <c r="EZ1945" s="1"/>
      <c r="FA1945" s="1"/>
      <c r="FB1945" s="1"/>
      <c r="FC1945" s="1"/>
      <c r="FD1945" s="1"/>
      <c r="FE1945" s="1"/>
      <c r="FF1945" s="1"/>
      <c r="FG1945" s="1"/>
      <c r="FH1945" s="1"/>
      <c r="FI1945" s="1"/>
      <c r="FJ1945" s="1"/>
      <c r="FK1945" s="1"/>
      <c r="FL1945" s="1"/>
      <c r="FM1945" s="1"/>
      <c r="FN1945" s="1"/>
      <c r="FO1945" s="1"/>
      <c r="FP1945" s="1"/>
      <c r="FQ1945" s="1"/>
      <c r="FR1945" s="1"/>
      <c r="FS1945" s="1"/>
      <c r="FT1945" s="1"/>
      <c r="FU1945" s="1"/>
      <c r="FV1945" s="1"/>
      <c r="FW1945" s="1"/>
      <c r="FX1945" s="1"/>
      <c r="FY1945" s="1"/>
      <c r="FZ1945" s="1"/>
      <c r="GA1945" s="1"/>
      <c r="GB1945" s="1"/>
      <c r="GC1945" s="1"/>
      <c r="GD1945" s="1"/>
      <c r="GE1945" s="1"/>
      <c r="GF1945" s="1"/>
      <c r="GG1945" s="1"/>
      <c r="GH1945" s="1"/>
      <c r="GI1945" s="1"/>
      <c r="GJ1945" s="1"/>
      <c r="GK1945" s="1"/>
      <c r="GL1945" s="1"/>
      <c r="GM1945" s="1"/>
      <c r="GN1945" s="1"/>
      <c r="GO1945" s="1"/>
      <c r="GP1945" s="1"/>
      <c r="GQ1945" s="1"/>
      <c r="GR1945" s="1"/>
      <c r="GS1945" s="1"/>
      <c r="GT1945" s="1"/>
      <c r="GU1945" s="1"/>
      <c r="GV1945" s="1"/>
      <c r="GW1945" s="1"/>
      <c r="GX1945" s="1"/>
      <c r="GY1945" s="1"/>
      <c r="GZ1945" s="1"/>
      <c r="HA1945" s="1"/>
      <c r="HB1945" s="1"/>
      <c r="HC1945" s="1"/>
      <c r="HD1945" s="1"/>
      <c r="HE1945" s="1"/>
      <c r="HF1945" s="1"/>
      <c r="HG1945" s="1"/>
      <c r="HH1945" s="1"/>
    </row>
    <row r="1946" spans="1:216" x14ac:dyDescent="0.3">
      <c r="A1946" s="3"/>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
      <c r="DQ1946" s="1"/>
      <c r="DR1946" s="1"/>
      <c r="DS1946" s="1"/>
      <c r="DT1946" s="1"/>
      <c r="DU1946" s="1"/>
      <c r="DV1946" s="1"/>
      <c r="DW1946" s="1"/>
      <c r="DX1946" s="1"/>
      <c r="DY1946" s="1"/>
      <c r="DZ1946" s="1"/>
      <c r="EA1946" s="1"/>
      <c r="EB1946" s="1"/>
      <c r="EC1946" s="1"/>
      <c r="ED1946" s="1"/>
      <c r="EE1946" s="1"/>
      <c r="EF1946" s="1"/>
      <c r="EG1946" s="1"/>
      <c r="EH1946" s="1"/>
      <c r="EI1946" s="1"/>
      <c r="EJ1946" s="1"/>
      <c r="EK1946" s="1"/>
      <c r="EL1946" s="1"/>
      <c r="EM1946" s="1"/>
      <c r="EN1946" s="1"/>
      <c r="EO1946" s="1"/>
      <c r="EP1946" s="1"/>
      <c r="EQ1946" s="1"/>
      <c r="ER1946" s="1"/>
      <c r="ES1946" s="1"/>
      <c r="ET1946" s="1"/>
      <c r="EU1946" s="1"/>
      <c r="EV1946" s="1"/>
      <c r="EW1946" s="1"/>
      <c r="EX1946" s="1"/>
      <c r="EY1946" s="1"/>
      <c r="EZ1946" s="1"/>
      <c r="FA1946" s="1"/>
      <c r="FB1946" s="1"/>
      <c r="FC1946" s="1"/>
      <c r="FD1946" s="1"/>
      <c r="FE1946" s="1"/>
      <c r="FF1946" s="1"/>
      <c r="FG1946" s="1"/>
      <c r="FH1946" s="1"/>
      <c r="FI1946" s="1"/>
      <c r="FJ1946" s="1"/>
      <c r="FK1946" s="1"/>
      <c r="FL1946" s="1"/>
      <c r="FM1946" s="1"/>
      <c r="FN1946" s="1"/>
      <c r="FO1946" s="1"/>
      <c r="FP1946" s="1"/>
      <c r="FQ1946" s="1"/>
      <c r="FR1946" s="1"/>
      <c r="FS1946" s="1"/>
      <c r="FT1946" s="1"/>
      <c r="FU1946" s="1"/>
      <c r="FV1946" s="1"/>
      <c r="FW1946" s="1"/>
      <c r="FX1946" s="1"/>
      <c r="FY1946" s="1"/>
      <c r="FZ1946" s="1"/>
      <c r="GA1946" s="1"/>
      <c r="GB1946" s="1"/>
      <c r="GC1946" s="1"/>
      <c r="GD1946" s="1"/>
      <c r="GE1946" s="1"/>
      <c r="GF1946" s="1"/>
      <c r="GG1946" s="1"/>
      <c r="GH1946" s="1"/>
      <c r="GI1946" s="1"/>
      <c r="GJ1946" s="1"/>
      <c r="GK1946" s="1"/>
      <c r="GL1946" s="1"/>
      <c r="GM1946" s="1"/>
      <c r="GN1946" s="1"/>
      <c r="GO1946" s="1"/>
      <c r="GP1946" s="1"/>
      <c r="GQ1946" s="1"/>
      <c r="GR1946" s="1"/>
      <c r="GS1946" s="1"/>
      <c r="GT1946" s="1"/>
      <c r="GU1946" s="1"/>
      <c r="GV1946" s="1"/>
      <c r="GW1946" s="1"/>
      <c r="GX1946" s="1"/>
      <c r="GY1946" s="1"/>
      <c r="GZ1946" s="1"/>
      <c r="HA1946" s="1"/>
      <c r="HB1946" s="1"/>
      <c r="HC1946" s="1"/>
      <c r="HD1946" s="1"/>
      <c r="HE1946" s="1"/>
      <c r="HF1946" s="1"/>
      <c r="HG1946" s="1"/>
      <c r="HH1946" s="1"/>
    </row>
    <row r="1947" spans="1:216" x14ac:dyDescent="0.3">
      <c r="A1947" s="3"/>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R1947" s="1"/>
      <c r="DS1947" s="1"/>
      <c r="DT1947" s="1"/>
      <c r="DU1947" s="1"/>
      <c r="DV1947" s="1"/>
      <c r="DW1947" s="1"/>
      <c r="DX1947" s="1"/>
      <c r="DY1947" s="1"/>
      <c r="DZ1947" s="1"/>
      <c r="EA1947" s="1"/>
      <c r="EB1947" s="1"/>
      <c r="EC1947" s="1"/>
      <c r="ED1947" s="1"/>
      <c r="EE1947" s="1"/>
      <c r="EF1947" s="1"/>
      <c r="EG1947" s="1"/>
      <c r="EH1947" s="1"/>
      <c r="EI1947" s="1"/>
      <c r="EJ1947" s="1"/>
      <c r="EK1947" s="1"/>
      <c r="EL1947" s="1"/>
      <c r="EM1947" s="1"/>
      <c r="EN1947" s="1"/>
      <c r="EO1947" s="1"/>
      <c r="EP1947" s="1"/>
      <c r="EQ1947" s="1"/>
      <c r="ER1947" s="1"/>
      <c r="ES1947" s="1"/>
      <c r="ET1947" s="1"/>
      <c r="EU1947" s="1"/>
      <c r="EV1947" s="1"/>
      <c r="EW1947" s="1"/>
      <c r="EX1947" s="1"/>
      <c r="EY1947" s="1"/>
      <c r="EZ1947" s="1"/>
      <c r="FA1947" s="1"/>
      <c r="FB1947" s="1"/>
      <c r="FC1947" s="1"/>
      <c r="FD1947" s="1"/>
      <c r="FE1947" s="1"/>
      <c r="FF1947" s="1"/>
      <c r="FG1947" s="1"/>
      <c r="FH1947" s="1"/>
      <c r="FI1947" s="1"/>
      <c r="FJ1947" s="1"/>
      <c r="FK1947" s="1"/>
      <c r="FL1947" s="1"/>
      <c r="FM1947" s="1"/>
      <c r="FN1947" s="1"/>
      <c r="FO1947" s="1"/>
      <c r="FP1947" s="1"/>
      <c r="FQ1947" s="1"/>
      <c r="FR1947" s="1"/>
      <c r="FS1947" s="1"/>
      <c r="FT1947" s="1"/>
      <c r="FU1947" s="1"/>
      <c r="FV1947" s="1"/>
      <c r="FW1947" s="1"/>
      <c r="FX1947" s="1"/>
      <c r="FY1947" s="1"/>
      <c r="FZ1947" s="1"/>
      <c r="GA1947" s="1"/>
      <c r="GB1947" s="1"/>
      <c r="GC1947" s="1"/>
      <c r="GD1947" s="1"/>
      <c r="GE1947" s="1"/>
      <c r="GF1947" s="1"/>
      <c r="GG1947" s="1"/>
      <c r="GH1947" s="1"/>
      <c r="GI1947" s="1"/>
      <c r="GJ1947" s="1"/>
      <c r="GK1947" s="1"/>
      <c r="GL1947" s="1"/>
      <c r="GM1947" s="1"/>
      <c r="GN1947" s="1"/>
      <c r="GO1947" s="1"/>
      <c r="GP1947" s="1"/>
      <c r="GQ1947" s="1"/>
      <c r="GR1947" s="1"/>
      <c r="GS1947" s="1"/>
      <c r="GT1947" s="1"/>
      <c r="GU1947" s="1"/>
      <c r="GV1947" s="1"/>
      <c r="GW1947" s="1"/>
      <c r="GX1947" s="1"/>
      <c r="GY1947" s="1"/>
      <c r="GZ1947" s="1"/>
      <c r="HA1947" s="1"/>
      <c r="HB1947" s="1"/>
      <c r="HC1947" s="1"/>
      <c r="HD1947" s="1"/>
      <c r="HE1947" s="1"/>
      <c r="HF1947" s="1"/>
      <c r="HG1947" s="1"/>
      <c r="HH1947" s="1"/>
    </row>
    <row r="1948" spans="1:216" x14ac:dyDescent="0.3">
      <c r="A1948" s="3"/>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
      <c r="DQ1948" s="1"/>
      <c r="DR1948" s="1"/>
      <c r="DS1948" s="1"/>
      <c r="DT1948" s="1"/>
      <c r="DU1948" s="1"/>
      <c r="DV1948" s="1"/>
      <c r="DW1948" s="1"/>
      <c r="DX1948" s="1"/>
      <c r="DY1948" s="1"/>
      <c r="DZ1948" s="1"/>
      <c r="EA1948" s="1"/>
      <c r="EB1948" s="1"/>
      <c r="EC1948" s="1"/>
      <c r="ED1948" s="1"/>
      <c r="EE1948" s="1"/>
      <c r="EF1948" s="1"/>
      <c r="EG1948" s="1"/>
      <c r="EH1948" s="1"/>
      <c r="EI1948" s="1"/>
      <c r="EJ1948" s="1"/>
      <c r="EK1948" s="1"/>
      <c r="EL1948" s="1"/>
      <c r="EM1948" s="1"/>
      <c r="EN1948" s="1"/>
      <c r="EO1948" s="1"/>
      <c r="EP1948" s="1"/>
      <c r="EQ1948" s="1"/>
      <c r="ER1948" s="1"/>
      <c r="ES1948" s="1"/>
      <c r="ET1948" s="1"/>
      <c r="EU1948" s="1"/>
      <c r="EV1948" s="1"/>
      <c r="EW1948" s="1"/>
      <c r="EX1948" s="1"/>
      <c r="EY1948" s="1"/>
      <c r="EZ1948" s="1"/>
      <c r="FA1948" s="1"/>
      <c r="FB1948" s="1"/>
      <c r="FC1948" s="1"/>
      <c r="FD1948" s="1"/>
      <c r="FE1948" s="1"/>
      <c r="FF1948" s="1"/>
      <c r="FG1948" s="1"/>
      <c r="FH1948" s="1"/>
      <c r="FI1948" s="1"/>
      <c r="FJ1948" s="1"/>
      <c r="FK1948" s="1"/>
      <c r="FL1948" s="1"/>
      <c r="FM1948" s="1"/>
      <c r="FN1948" s="1"/>
      <c r="FO1948" s="1"/>
      <c r="FP1948" s="1"/>
      <c r="FQ1948" s="1"/>
      <c r="FR1948" s="1"/>
      <c r="FS1948" s="1"/>
      <c r="FT1948" s="1"/>
      <c r="FU1948" s="1"/>
      <c r="FV1948" s="1"/>
      <c r="FW1948" s="1"/>
      <c r="FX1948" s="1"/>
      <c r="FY1948" s="1"/>
      <c r="FZ1948" s="1"/>
      <c r="GA1948" s="1"/>
      <c r="GB1948" s="1"/>
      <c r="GC1948" s="1"/>
      <c r="GD1948" s="1"/>
      <c r="GE1948" s="1"/>
      <c r="GF1948" s="1"/>
      <c r="GG1948" s="1"/>
      <c r="GH1948" s="1"/>
      <c r="GI1948" s="1"/>
      <c r="GJ1948" s="1"/>
      <c r="GK1948" s="1"/>
      <c r="GL1948" s="1"/>
      <c r="GM1948" s="1"/>
      <c r="GN1948" s="1"/>
      <c r="GO1948" s="1"/>
      <c r="GP1948" s="1"/>
      <c r="GQ1948" s="1"/>
      <c r="GR1948" s="1"/>
      <c r="GS1948" s="1"/>
      <c r="GT1948" s="1"/>
      <c r="GU1948" s="1"/>
      <c r="GV1948" s="1"/>
      <c r="GW1948" s="1"/>
      <c r="GX1948" s="1"/>
      <c r="GY1948" s="1"/>
      <c r="GZ1948" s="1"/>
      <c r="HA1948" s="1"/>
      <c r="HB1948" s="1"/>
      <c r="HC1948" s="1"/>
      <c r="HD1948" s="1"/>
      <c r="HE1948" s="1"/>
      <c r="HF1948" s="1"/>
      <c r="HG1948" s="1"/>
      <c r="HH1948" s="1"/>
    </row>
    <row r="1949" spans="1:216" x14ac:dyDescent="0.3">
      <c r="A1949" s="3"/>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
      <c r="DQ1949" s="1"/>
      <c r="DR1949" s="1"/>
      <c r="DS1949" s="1"/>
      <c r="DT1949" s="1"/>
      <c r="DU1949" s="1"/>
      <c r="DV1949" s="1"/>
      <c r="DW1949" s="1"/>
      <c r="DX1949" s="1"/>
      <c r="DY1949" s="1"/>
      <c r="DZ1949" s="1"/>
      <c r="EA1949" s="1"/>
      <c r="EB1949" s="1"/>
      <c r="EC1949" s="1"/>
      <c r="ED1949" s="1"/>
      <c r="EE1949" s="1"/>
      <c r="EF1949" s="1"/>
      <c r="EG1949" s="1"/>
      <c r="EH1949" s="1"/>
      <c r="EI1949" s="1"/>
      <c r="EJ1949" s="1"/>
      <c r="EK1949" s="1"/>
      <c r="EL1949" s="1"/>
      <c r="EM1949" s="1"/>
      <c r="EN1949" s="1"/>
      <c r="EO1949" s="1"/>
      <c r="EP1949" s="1"/>
      <c r="EQ1949" s="1"/>
      <c r="ER1949" s="1"/>
      <c r="ES1949" s="1"/>
      <c r="ET1949" s="1"/>
      <c r="EU1949" s="1"/>
      <c r="EV1949" s="1"/>
      <c r="EW1949" s="1"/>
      <c r="EX1949" s="1"/>
      <c r="EY1949" s="1"/>
      <c r="EZ1949" s="1"/>
      <c r="FA1949" s="1"/>
      <c r="FB1949" s="1"/>
      <c r="FC1949" s="1"/>
      <c r="FD1949" s="1"/>
      <c r="FE1949" s="1"/>
      <c r="FF1949" s="1"/>
      <c r="FG1949" s="1"/>
      <c r="FH1949" s="1"/>
      <c r="FI1949" s="1"/>
      <c r="FJ1949" s="1"/>
      <c r="FK1949" s="1"/>
      <c r="FL1949" s="1"/>
      <c r="FM1949" s="1"/>
      <c r="FN1949" s="1"/>
      <c r="FO1949" s="1"/>
      <c r="FP1949" s="1"/>
      <c r="FQ1949" s="1"/>
      <c r="FR1949" s="1"/>
      <c r="FS1949" s="1"/>
      <c r="FT1949" s="1"/>
      <c r="FU1949" s="1"/>
      <c r="FV1949" s="1"/>
      <c r="FW1949" s="1"/>
      <c r="FX1949" s="1"/>
      <c r="FY1949" s="1"/>
      <c r="FZ1949" s="1"/>
      <c r="GA1949" s="1"/>
      <c r="GB1949" s="1"/>
      <c r="GC1949" s="1"/>
      <c r="GD1949" s="1"/>
      <c r="GE1949" s="1"/>
      <c r="GF1949" s="1"/>
      <c r="GG1949" s="1"/>
      <c r="GH1949" s="1"/>
      <c r="GI1949" s="1"/>
      <c r="GJ1949" s="1"/>
      <c r="GK1949" s="1"/>
      <c r="GL1949" s="1"/>
      <c r="GM1949" s="1"/>
      <c r="GN1949" s="1"/>
      <c r="GO1949" s="1"/>
      <c r="GP1949" s="1"/>
      <c r="GQ1949" s="1"/>
      <c r="GR1949" s="1"/>
      <c r="GS1949" s="1"/>
      <c r="GT1949" s="1"/>
      <c r="GU1949" s="1"/>
      <c r="GV1949" s="1"/>
      <c r="GW1949" s="1"/>
      <c r="GX1949" s="1"/>
      <c r="GY1949" s="1"/>
      <c r="GZ1949" s="1"/>
      <c r="HA1949" s="1"/>
      <c r="HB1949" s="1"/>
      <c r="HC1949" s="1"/>
      <c r="HD1949" s="1"/>
      <c r="HE1949" s="1"/>
      <c r="HF1949" s="1"/>
      <c r="HG1949" s="1"/>
      <c r="HH1949" s="1"/>
    </row>
    <row r="1950" spans="1:216" x14ac:dyDescent="0.3">
      <c r="A1950" s="3"/>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
      <c r="DQ1950" s="1"/>
      <c r="DR1950" s="1"/>
      <c r="DS1950" s="1"/>
      <c r="DT1950" s="1"/>
      <c r="DU1950" s="1"/>
      <c r="DV1950" s="1"/>
      <c r="DW1950" s="1"/>
      <c r="DX1950" s="1"/>
      <c r="DY1950" s="1"/>
      <c r="DZ1950" s="1"/>
      <c r="EA1950" s="1"/>
      <c r="EB1950" s="1"/>
      <c r="EC1950" s="1"/>
      <c r="ED1950" s="1"/>
      <c r="EE1950" s="1"/>
      <c r="EF1950" s="1"/>
      <c r="EG1950" s="1"/>
      <c r="EH1950" s="1"/>
      <c r="EI1950" s="1"/>
      <c r="EJ1950" s="1"/>
      <c r="EK1950" s="1"/>
      <c r="EL1950" s="1"/>
      <c r="EM1950" s="1"/>
      <c r="EN1950" s="1"/>
      <c r="EO1950" s="1"/>
      <c r="EP1950" s="1"/>
      <c r="EQ1950" s="1"/>
      <c r="ER1950" s="1"/>
      <c r="ES1950" s="1"/>
      <c r="ET1950" s="1"/>
      <c r="EU1950" s="1"/>
      <c r="EV1950" s="1"/>
      <c r="EW1950" s="1"/>
      <c r="EX1950" s="1"/>
      <c r="EY1950" s="1"/>
      <c r="EZ1950" s="1"/>
      <c r="FA1950" s="1"/>
      <c r="FB1950" s="1"/>
      <c r="FC1950" s="1"/>
      <c r="FD1950" s="1"/>
      <c r="FE1950" s="1"/>
      <c r="FF1950" s="1"/>
      <c r="FG1950" s="1"/>
      <c r="FH1950" s="1"/>
      <c r="FI1950" s="1"/>
      <c r="FJ1950" s="1"/>
      <c r="FK1950" s="1"/>
      <c r="FL1950" s="1"/>
      <c r="FM1950" s="1"/>
      <c r="FN1950" s="1"/>
      <c r="FO1950" s="1"/>
      <c r="FP1950" s="1"/>
      <c r="FQ1950" s="1"/>
      <c r="FR1950" s="1"/>
      <c r="FS1950" s="1"/>
      <c r="FT1950" s="1"/>
      <c r="FU1950" s="1"/>
      <c r="FV1950" s="1"/>
      <c r="FW1950" s="1"/>
      <c r="FX1950" s="1"/>
      <c r="FY1950" s="1"/>
      <c r="FZ1950" s="1"/>
      <c r="GA1950" s="1"/>
      <c r="GB1950" s="1"/>
      <c r="GC1950" s="1"/>
      <c r="GD1950" s="1"/>
      <c r="GE1950" s="1"/>
      <c r="GF1950" s="1"/>
      <c r="GG1950" s="1"/>
      <c r="GH1950" s="1"/>
      <c r="GI1950" s="1"/>
      <c r="GJ1950" s="1"/>
      <c r="GK1950" s="1"/>
      <c r="GL1950" s="1"/>
      <c r="GM1950" s="1"/>
      <c r="GN1950" s="1"/>
      <c r="GO1950" s="1"/>
      <c r="GP1950" s="1"/>
      <c r="GQ1950" s="1"/>
      <c r="GR1950" s="1"/>
      <c r="GS1950" s="1"/>
      <c r="GT1950" s="1"/>
      <c r="GU1950" s="1"/>
      <c r="GV1950" s="1"/>
      <c r="GW1950" s="1"/>
      <c r="GX1950" s="1"/>
      <c r="GY1950" s="1"/>
      <c r="GZ1950" s="1"/>
      <c r="HA1950" s="1"/>
      <c r="HB1950" s="1"/>
      <c r="HC1950" s="1"/>
      <c r="HD1950" s="1"/>
      <c r="HE1950" s="1"/>
      <c r="HF1950" s="1"/>
      <c r="HG1950" s="1"/>
      <c r="HH1950" s="1"/>
    </row>
    <row r="1951" spans="1:216" x14ac:dyDescent="0.3">
      <c r="A1951" s="3"/>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c r="EF1951" s="1"/>
      <c r="EG1951" s="1"/>
      <c r="EH1951" s="1"/>
      <c r="EI1951" s="1"/>
      <c r="EJ1951" s="1"/>
      <c r="EK1951" s="1"/>
      <c r="EL1951" s="1"/>
      <c r="EM1951" s="1"/>
      <c r="EN1951" s="1"/>
      <c r="EO1951" s="1"/>
      <c r="EP1951" s="1"/>
      <c r="EQ1951" s="1"/>
      <c r="ER1951" s="1"/>
      <c r="ES1951" s="1"/>
      <c r="ET1951" s="1"/>
      <c r="EU1951" s="1"/>
      <c r="EV1951" s="1"/>
      <c r="EW1951" s="1"/>
      <c r="EX1951" s="1"/>
      <c r="EY1951" s="1"/>
      <c r="EZ1951" s="1"/>
      <c r="FA1951" s="1"/>
      <c r="FB1951" s="1"/>
      <c r="FC1951" s="1"/>
      <c r="FD1951" s="1"/>
      <c r="FE1951" s="1"/>
      <c r="FF1951" s="1"/>
      <c r="FG1951" s="1"/>
      <c r="FH1951" s="1"/>
      <c r="FI1951" s="1"/>
      <c r="FJ1951" s="1"/>
      <c r="FK1951" s="1"/>
      <c r="FL1951" s="1"/>
      <c r="FM1951" s="1"/>
      <c r="FN1951" s="1"/>
      <c r="FO1951" s="1"/>
      <c r="FP1951" s="1"/>
      <c r="FQ1951" s="1"/>
      <c r="FR1951" s="1"/>
      <c r="FS1951" s="1"/>
      <c r="FT1951" s="1"/>
      <c r="FU1951" s="1"/>
      <c r="FV1951" s="1"/>
      <c r="FW1951" s="1"/>
      <c r="FX1951" s="1"/>
      <c r="FY1951" s="1"/>
      <c r="FZ1951" s="1"/>
      <c r="GA1951" s="1"/>
      <c r="GB1951" s="1"/>
      <c r="GC1951" s="1"/>
      <c r="GD1951" s="1"/>
      <c r="GE1951" s="1"/>
      <c r="GF1951" s="1"/>
      <c r="GG1951" s="1"/>
      <c r="GH1951" s="1"/>
      <c r="GI1951" s="1"/>
      <c r="GJ1951" s="1"/>
      <c r="GK1951" s="1"/>
      <c r="GL1951" s="1"/>
      <c r="GM1951" s="1"/>
      <c r="GN1951" s="1"/>
      <c r="GO1951" s="1"/>
      <c r="GP1951" s="1"/>
      <c r="GQ1951" s="1"/>
      <c r="GR1951" s="1"/>
      <c r="GS1951" s="1"/>
      <c r="GT1951" s="1"/>
      <c r="GU1951" s="1"/>
      <c r="GV1951" s="1"/>
      <c r="GW1951" s="1"/>
      <c r="GX1951" s="1"/>
      <c r="GY1951" s="1"/>
      <c r="GZ1951" s="1"/>
      <c r="HA1951" s="1"/>
      <c r="HB1951" s="1"/>
      <c r="HC1951" s="1"/>
      <c r="HD1951" s="1"/>
      <c r="HE1951" s="1"/>
      <c r="HF1951" s="1"/>
      <c r="HG1951" s="1"/>
      <c r="HH1951" s="1"/>
    </row>
    <row r="1952" spans="1:216" x14ac:dyDescent="0.3">
      <c r="A1952" s="3"/>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c r="EF1952" s="1"/>
      <c r="EG1952" s="1"/>
      <c r="EH1952" s="1"/>
      <c r="EI1952" s="1"/>
      <c r="EJ1952" s="1"/>
      <c r="EK1952" s="1"/>
      <c r="EL1952" s="1"/>
      <c r="EM1952" s="1"/>
      <c r="EN1952" s="1"/>
      <c r="EO1952" s="1"/>
      <c r="EP1952" s="1"/>
      <c r="EQ1952" s="1"/>
      <c r="ER1952" s="1"/>
      <c r="ES1952" s="1"/>
      <c r="ET1952" s="1"/>
      <c r="EU1952" s="1"/>
      <c r="EV1952" s="1"/>
      <c r="EW1952" s="1"/>
      <c r="EX1952" s="1"/>
      <c r="EY1952" s="1"/>
      <c r="EZ1952" s="1"/>
      <c r="FA1952" s="1"/>
      <c r="FB1952" s="1"/>
      <c r="FC1952" s="1"/>
      <c r="FD1952" s="1"/>
      <c r="FE1952" s="1"/>
      <c r="FF1952" s="1"/>
      <c r="FG1952" s="1"/>
      <c r="FH1952" s="1"/>
      <c r="FI1952" s="1"/>
      <c r="FJ1952" s="1"/>
      <c r="FK1952" s="1"/>
      <c r="FL1952" s="1"/>
      <c r="FM1952" s="1"/>
      <c r="FN1952" s="1"/>
      <c r="FO1952" s="1"/>
      <c r="FP1952" s="1"/>
      <c r="FQ1952" s="1"/>
      <c r="FR1952" s="1"/>
      <c r="FS1952" s="1"/>
      <c r="FT1952" s="1"/>
      <c r="FU1952" s="1"/>
      <c r="FV1952" s="1"/>
      <c r="FW1952" s="1"/>
      <c r="FX1952" s="1"/>
      <c r="FY1952" s="1"/>
      <c r="FZ1952" s="1"/>
      <c r="GA1952" s="1"/>
      <c r="GB1952" s="1"/>
      <c r="GC1952" s="1"/>
      <c r="GD1952" s="1"/>
      <c r="GE1952" s="1"/>
      <c r="GF1952" s="1"/>
      <c r="GG1952" s="1"/>
      <c r="GH1952" s="1"/>
      <c r="GI1952" s="1"/>
      <c r="GJ1952" s="1"/>
      <c r="GK1952" s="1"/>
      <c r="GL1952" s="1"/>
      <c r="GM1952" s="1"/>
      <c r="GN1952" s="1"/>
      <c r="GO1952" s="1"/>
      <c r="GP1952" s="1"/>
      <c r="GQ1952" s="1"/>
      <c r="GR1952" s="1"/>
      <c r="GS1952" s="1"/>
      <c r="GT1952" s="1"/>
      <c r="GU1952" s="1"/>
      <c r="GV1952" s="1"/>
      <c r="GW1952" s="1"/>
      <c r="GX1952" s="1"/>
      <c r="GY1952" s="1"/>
      <c r="GZ1952" s="1"/>
      <c r="HA1952" s="1"/>
      <c r="HB1952" s="1"/>
      <c r="HC1952" s="1"/>
      <c r="HD1952" s="1"/>
      <c r="HE1952" s="1"/>
      <c r="HF1952" s="1"/>
      <c r="HG1952" s="1"/>
      <c r="HH1952" s="1"/>
    </row>
    <row r="1953" spans="1:216" x14ac:dyDescent="0.3">
      <c r="A1953" s="3"/>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c r="EF1953" s="1"/>
      <c r="EG1953" s="1"/>
      <c r="EH1953" s="1"/>
      <c r="EI1953" s="1"/>
      <c r="EJ1953" s="1"/>
      <c r="EK1953" s="1"/>
      <c r="EL1953" s="1"/>
      <c r="EM1953" s="1"/>
      <c r="EN1953" s="1"/>
      <c r="EO1953" s="1"/>
      <c r="EP1953" s="1"/>
      <c r="EQ1953" s="1"/>
      <c r="ER1953" s="1"/>
      <c r="ES1953" s="1"/>
      <c r="ET1953" s="1"/>
      <c r="EU1953" s="1"/>
      <c r="EV1953" s="1"/>
      <c r="EW1953" s="1"/>
      <c r="EX1953" s="1"/>
      <c r="EY1953" s="1"/>
      <c r="EZ1953" s="1"/>
      <c r="FA1953" s="1"/>
      <c r="FB1953" s="1"/>
      <c r="FC1953" s="1"/>
      <c r="FD1953" s="1"/>
      <c r="FE1953" s="1"/>
      <c r="FF1953" s="1"/>
      <c r="FG1953" s="1"/>
      <c r="FH1953" s="1"/>
      <c r="FI1953" s="1"/>
      <c r="FJ1953" s="1"/>
      <c r="FK1953" s="1"/>
      <c r="FL1953" s="1"/>
      <c r="FM1953" s="1"/>
      <c r="FN1953" s="1"/>
      <c r="FO1953" s="1"/>
      <c r="FP1953" s="1"/>
      <c r="FQ1953" s="1"/>
      <c r="FR1953" s="1"/>
      <c r="FS1953" s="1"/>
      <c r="FT1953" s="1"/>
      <c r="FU1953" s="1"/>
      <c r="FV1953" s="1"/>
      <c r="FW1953" s="1"/>
      <c r="FX1953" s="1"/>
      <c r="FY1953" s="1"/>
      <c r="FZ1953" s="1"/>
      <c r="GA1953" s="1"/>
      <c r="GB1953" s="1"/>
      <c r="GC1953" s="1"/>
      <c r="GD1953" s="1"/>
      <c r="GE1953" s="1"/>
      <c r="GF1953" s="1"/>
      <c r="GG1953" s="1"/>
      <c r="GH1953" s="1"/>
      <c r="GI1953" s="1"/>
      <c r="GJ1953" s="1"/>
      <c r="GK1953" s="1"/>
      <c r="GL1953" s="1"/>
      <c r="GM1953" s="1"/>
      <c r="GN1953" s="1"/>
      <c r="GO1953" s="1"/>
      <c r="GP1953" s="1"/>
      <c r="GQ1953" s="1"/>
      <c r="GR1953" s="1"/>
      <c r="GS1953" s="1"/>
      <c r="GT1953" s="1"/>
      <c r="GU1953" s="1"/>
      <c r="GV1953" s="1"/>
      <c r="GW1953" s="1"/>
      <c r="GX1953" s="1"/>
      <c r="GY1953" s="1"/>
      <c r="GZ1953" s="1"/>
      <c r="HA1953" s="1"/>
      <c r="HB1953" s="1"/>
      <c r="HC1953" s="1"/>
      <c r="HD1953" s="1"/>
      <c r="HE1953" s="1"/>
      <c r="HF1953" s="1"/>
      <c r="HG1953" s="1"/>
      <c r="HH1953" s="1"/>
    </row>
    <row r="1954" spans="1:216" x14ac:dyDescent="0.3">
      <c r="A1954" s="3"/>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c r="EF1954" s="1"/>
      <c r="EG1954" s="1"/>
      <c r="EH1954" s="1"/>
      <c r="EI1954" s="1"/>
      <c r="EJ1954" s="1"/>
      <c r="EK1954" s="1"/>
      <c r="EL1954" s="1"/>
      <c r="EM1954" s="1"/>
      <c r="EN1954" s="1"/>
      <c r="EO1954" s="1"/>
      <c r="EP1954" s="1"/>
      <c r="EQ1954" s="1"/>
      <c r="ER1954" s="1"/>
      <c r="ES1954" s="1"/>
      <c r="ET1954" s="1"/>
      <c r="EU1954" s="1"/>
      <c r="EV1954" s="1"/>
      <c r="EW1954" s="1"/>
      <c r="EX1954" s="1"/>
      <c r="EY1954" s="1"/>
      <c r="EZ1954" s="1"/>
      <c r="FA1954" s="1"/>
      <c r="FB1954" s="1"/>
      <c r="FC1954" s="1"/>
      <c r="FD1954" s="1"/>
      <c r="FE1954" s="1"/>
      <c r="FF1954" s="1"/>
      <c r="FG1954" s="1"/>
      <c r="FH1954" s="1"/>
      <c r="FI1954" s="1"/>
      <c r="FJ1954" s="1"/>
      <c r="FK1954" s="1"/>
      <c r="FL1954" s="1"/>
      <c r="FM1954" s="1"/>
      <c r="FN1954" s="1"/>
      <c r="FO1954" s="1"/>
      <c r="FP1954" s="1"/>
      <c r="FQ1954" s="1"/>
      <c r="FR1954" s="1"/>
      <c r="FS1954" s="1"/>
      <c r="FT1954" s="1"/>
      <c r="FU1954" s="1"/>
      <c r="FV1954" s="1"/>
      <c r="FW1954" s="1"/>
      <c r="FX1954" s="1"/>
      <c r="FY1954" s="1"/>
      <c r="FZ1954" s="1"/>
      <c r="GA1954" s="1"/>
      <c r="GB1954" s="1"/>
      <c r="GC1954" s="1"/>
      <c r="GD1954" s="1"/>
      <c r="GE1954" s="1"/>
      <c r="GF1954" s="1"/>
      <c r="GG1954" s="1"/>
      <c r="GH1954" s="1"/>
      <c r="GI1954" s="1"/>
      <c r="GJ1954" s="1"/>
      <c r="GK1954" s="1"/>
      <c r="GL1954" s="1"/>
      <c r="GM1954" s="1"/>
      <c r="GN1954" s="1"/>
      <c r="GO1954" s="1"/>
      <c r="GP1954" s="1"/>
      <c r="GQ1954" s="1"/>
      <c r="GR1954" s="1"/>
      <c r="GS1954" s="1"/>
      <c r="GT1954" s="1"/>
      <c r="GU1954" s="1"/>
      <c r="GV1954" s="1"/>
      <c r="GW1954" s="1"/>
      <c r="GX1954" s="1"/>
      <c r="GY1954" s="1"/>
      <c r="GZ1954" s="1"/>
      <c r="HA1954" s="1"/>
      <c r="HB1954" s="1"/>
      <c r="HC1954" s="1"/>
      <c r="HD1954" s="1"/>
      <c r="HE1954" s="1"/>
      <c r="HF1954" s="1"/>
      <c r="HG1954" s="1"/>
      <c r="HH1954" s="1"/>
    </row>
    <row r="1955" spans="1:216" x14ac:dyDescent="0.3">
      <c r="A1955" s="3"/>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c r="FN1955" s="1"/>
      <c r="FO1955" s="1"/>
      <c r="FP1955" s="1"/>
      <c r="FQ1955" s="1"/>
      <c r="FR1955" s="1"/>
      <c r="FS1955" s="1"/>
      <c r="FT1955" s="1"/>
      <c r="FU1955" s="1"/>
      <c r="FV1955" s="1"/>
      <c r="FW1955" s="1"/>
      <c r="FX1955" s="1"/>
      <c r="FY1955" s="1"/>
      <c r="FZ1955" s="1"/>
      <c r="GA1955" s="1"/>
      <c r="GB1955" s="1"/>
      <c r="GC1955" s="1"/>
      <c r="GD1955" s="1"/>
      <c r="GE1955" s="1"/>
      <c r="GF1955" s="1"/>
      <c r="GG1955" s="1"/>
      <c r="GH1955" s="1"/>
      <c r="GI1955" s="1"/>
      <c r="GJ1955" s="1"/>
      <c r="GK1955" s="1"/>
      <c r="GL1955" s="1"/>
      <c r="GM1955" s="1"/>
      <c r="GN1955" s="1"/>
      <c r="GO1955" s="1"/>
      <c r="GP1955" s="1"/>
      <c r="GQ1955" s="1"/>
      <c r="GR1955" s="1"/>
      <c r="GS1955" s="1"/>
      <c r="GT1955" s="1"/>
      <c r="GU1955" s="1"/>
      <c r="GV1955" s="1"/>
      <c r="GW1955" s="1"/>
      <c r="GX1955" s="1"/>
      <c r="GY1955" s="1"/>
      <c r="GZ1955" s="1"/>
      <c r="HA1955" s="1"/>
      <c r="HB1955" s="1"/>
      <c r="HC1955" s="1"/>
      <c r="HD1955" s="1"/>
      <c r="HE1955" s="1"/>
      <c r="HF1955" s="1"/>
      <c r="HG1955" s="1"/>
      <c r="HH1955" s="1"/>
    </row>
    <row r="1956" spans="1:216" x14ac:dyDescent="0.3">
      <c r="A1956" s="3"/>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c r="EF1956" s="1"/>
      <c r="EG1956" s="1"/>
      <c r="EH1956" s="1"/>
      <c r="EI1956" s="1"/>
      <c r="EJ1956" s="1"/>
      <c r="EK1956" s="1"/>
      <c r="EL1956" s="1"/>
      <c r="EM1956" s="1"/>
      <c r="EN1956" s="1"/>
      <c r="EO1956" s="1"/>
      <c r="EP1956" s="1"/>
      <c r="EQ1956" s="1"/>
      <c r="ER1956" s="1"/>
      <c r="ES1956" s="1"/>
      <c r="ET1956" s="1"/>
      <c r="EU1956" s="1"/>
      <c r="EV1956" s="1"/>
      <c r="EW1956" s="1"/>
      <c r="EX1956" s="1"/>
      <c r="EY1956" s="1"/>
      <c r="EZ1956" s="1"/>
      <c r="FA1956" s="1"/>
      <c r="FB1956" s="1"/>
      <c r="FC1956" s="1"/>
      <c r="FD1956" s="1"/>
      <c r="FE1956" s="1"/>
      <c r="FF1956" s="1"/>
      <c r="FG1956" s="1"/>
      <c r="FH1956" s="1"/>
      <c r="FI1956" s="1"/>
      <c r="FJ1956" s="1"/>
      <c r="FK1956" s="1"/>
      <c r="FL1956" s="1"/>
      <c r="FM1956" s="1"/>
      <c r="FN1956" s="1"/>
      <c r="FO1956" s="1"/>
      <c r="FP1956" s="1"/>
      <c r="FQ1956" s="1"/>
      <c r="FR1956" s="1"/>
      <c r="FS1956" s="1"/>
      <c r="FT1956" s="1"/>
      <c r="FU1956" s="1"/>
      <c r="FV1956" s="1"/>
      <c r="FW1956" s="1"/>
      <c r="FX1956" s="1"/>
      <c r="FY1956" s="1"/>
      <c r="FZ1956" s="1"/>
      <c r="GA1956" s="1"/>
      <c r="GB1956" s="1"/>
      <c r="GC1956" s="1"/>
      <c r="GD1956" s="1"/>
      <c r="GE1956" s="1"/>
      <c r="GF1956" s="1"/>
      <c r="GG1956" s="1"/>
      <c r="GH1956" s="1"/>
      <c r="GI1956" s="1"/>
      <c r="GJ1956" s="1"/>
      <c r="GK1956" s="1"/>
      <c r="GL1956" s="1"/>
      <c r="GM1956" s="1"/>
      <c r="GN1956" s="1"/>
      <c r="GO1956" s="1"/>
      <c r="GP1956" s="1"/>
      <c r="GQ1956" s="1"/>
      <c r="GR1956" s="1"/>
      <c r="GS1956" s="1"/>
      <c r="GT1956" s="1"/>
      <c r="GU1956" s="1"/>
      <c r="GV1956" s="1"/>
      <c r="GW1956" s="1"/>
      <c r="GX1956" s="1"/>
      <c r="GY1956" s="1"/>
      <c r="GZ1956" s="1"/>
      <c r="HA1956" s="1"/>
      <c r="HB1956" s="1"/>
      <c r="HC1956" s="1"/>
      <c r="HD1956" s="1"/>
      <c r="HE1956" s="1"/>
      <c r="HF1956" s="1"/>
      <c r="HG1956" s="1"/>
      <c r="HH1956" s="1"/>
    </row>
    <row r="1957" spans="1:216" x14ac:dyDescent="0.3">
      <c r="A1957" s="3"/>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c r="EF1957" s="1"/>
      <c r="EG1957" s="1"/>
      <c r="EH1957" s="1"/>
      <c r="EI1957" s="1"/>
      <c r="EJ1957" s="1"/>
      <c r="EK1957" s="1"/>
      <c r="EL1957" s="1"/>
      <c r="EM1957" s="1"/>
      <c r="EN1957" s="1"/>
      <c r="EO1957" s="1"/>
      <c r="EP1957" s="1"/>
      <c r="EQ1957" s="1"/>
      <c r="ER1957" s="1"/>
      <c r="ES1957" s="1"/>
      <c r="ET1957" s="1"/>
      <c r="EU1957" s="1"/>
      <c r="EV1957" s="1"/>
      <c r="EW1957" s="1"/>
      <c r="EX1957" s="1"/>
      <c r="EY1957" s="1"/>
      <c r="EZ1957" s="1"/>
      <c r="FA1957" s="1"/>
      <c r="FB1957" s="1"/>
      <c r="FC1957" s="1"/>
      <c r="FD1957" s="1"/>
      <c r="FE1957" s="1"/>
      <c r="FF1957" s="1"/>
      <c r="FG1957" s="1"/>
      <c r="FH1957" s="1"/>
      <c r="FI1957" s="1"/>
      <c r="FJ1957" s="1"/>
      <c r="FK1957" s="1"/>
      <c r="FL1957" s="1"/>
      <c r="FM1957" s="1"/>
      <c r="FN1957" s="1"/>
      <c r="FO1957" s="1"/>
      <c r="FP1957" s="1"/>
      <c r="FQ1957" s="1"/>
      <c r="FR1957" s="1"/>
      <c r="FS1957" s="1"/>
      <c r="FT1957" s="1"/>
      <c r="FU1957" s="1"/>
      <c r="FV1957" s="1"/>
      <c r="FW1957" s="1"/>
      <c r="FX1957" s="1"/>
      <c r="FY1957" s="1"/>
      <c r="FZ1957" s="1"/>
      <c r="GA1957" s="1"/>
      <c r="GB1957" s="1"/>
      <c r="GC1957" s="1"/>
      <c r="GD1957" s="1"/>
      <c r="GE1957" s="1"/>
      <c r="GF1957" s="1"/>
      <c r="GG1957" s="1"/>
      <c r="GH1957" s="1"/>
      <c r="GI1957" s="1"/>
      <c r="GJ1957" s="1"/>
      <c r="GK1957" s="1"/>
      <c r="GL1957" s="1"/>
      <c r="GM1957" s="1"/>
      <c r="GN1957" s="1"/>
      <c r="GO1957" s="1"/>
      <c r="GP1957" s="1"/>
      <c r="GQ1957" s="1"/>
      <c r="GR1957" s="1"/>
      <c r="GS1957" s="1"/>
      <c r="GT1957" s="1"/>
      <c r="GU1957" s="1"/>
      <c r="GV1957" s="1"/>
      <c r="GW1957" s="1"/>
      <c r="GX1957" s="1"/>
      <c r="GY1957" s="1"/>
      <c r="GZ1957" s="1"/>
      <c r="HA1957" s="1"/>
      <c r="HB1957" s="1"/>
      <c r="HC1957" s="1"/>
      <c r="HD1957" s="1"/>
      <c r="HE1957" s="1"/>
      <c r="HF1957" s="1"/>
      <c r="HG1957" s="1"/>
      <c r="HH1957" s="1"/>
    </row>
    <row r="1958" spans="1:216" x14ac:dyDescent="0.3">
      <c r="A1958" s="3"/>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c r="EF1958" s="1"/>
      <c r="EG1958" s="1"/>
      <c r="EH1958" s="1"/>
      <c r="EI1958" s="1"/>
      <c r="EJ1958" s="1"/>
      <c r="EK1958" s="1"/>
      <c r="EL1958" s="1"/>
      <c r="EM1958" s="1"/>
      <c r="EN1958" s="1"/>
      <c r="EO1958" s="1"/>
      <c r="EP1958" s="1"/>
      <c r="EQ1958" s="1"/>
      <c r="ER1958" s="1"/>
      <c r="ES1958" s="1"/>
      <c r="ET1958" s="1"/>
      <c r="EU1958" s="1"/>
      <c r="EV1958" s="1"/>
      <c r="EW1958" s="1"/>
      <c r="EX1958" s="1"/>
      <c r="EY1958" s="1"/>
      <c r="EZ1958" s="1"/>
      <c r="FA1958" s="1"/>
      <c r="FB1958" s="1"/>
      <c r="FC1958" s="1"/>
      <c r="FD1958" s="1"/>
      <c r="FE1958" s="1"/>
      <c r="FF1958" s="1"/>
      <c r="FG1958" s="1"/>
      <c r="FH1958" s="1"/>
      <c r="FI1958" s="1"/>
      <c r="FJ1958" s="1"/>
      <c r="FK1958" s="1"/>
      <c r="FL1958" s="1"/>
      <c r="FM1958" s="1"/>
      <c r="FN1958" s="1"/>
      <c r="FO1958" s="1"/>
      <c r="FP1958" s="1"/>
      <c r="FQ1958" s="1"/>
      <c r="FR1958" s="1"/>
      <c r="FS1958" s="1"/>
      <c r="FT1958" s="1"/>
      <c r="FU1958" s="1"/>
      <c r="FV1958" s="1"/>
      <c r="FW1958" s="1"/>
      <c r="FX1958" s="1"/>
      <c r="FY1958" s="1"/>
      <c r="FZ1958" s="1"/>
      <c r="GA1958" s="1"/>
      <c r="GB1958" s="1"/>
      <c r="GC1958" s="1"/>
      <c r="GD1958" s="1"/>
      <c r="GE1958" s="1"/>
      <c r="GF1958" s="1"/>
      <c r="GG1958" s="1"/>
      <c r="GH1958" s="1"/>
      <c r="GI1958" s="1"/>
      <c r="GJ1958" s="1"/>
      <c r="GK1958" s="1"/>
      <c r="GL1958" s="1"/>
      <c r="GM1958" s="1"/>
      <c r="GN1958" s="1"/>
      <c r="GO1958" s="1"/>
      <c r="GP1958" s="1"/>
      <c r="GQ1958" s="1"/>
      <c r="GR1958" s="1"/>
      <c r="GS1958" s="1"/>
      <c r="GT1958" s="1"/>
      <c r="GU1958" s="1"/>
      <c r="GV1958" s="1"/>
      <c r="GW1958" s="1"/>
      <c r="GX1958" s="1"/>
      <c r="GY1958" s="1"/>
      <c r="GZ1958" s="1"/>
      <c r="HA1958" s="1"/>
      <c r="HB1958" s="1"/>
      <c r="HC1958" s="1"/>
      <c r="HD1958" s="1"/>
      <c r="HE1958" s="1"/>
      <c r="HF1958" s="1"/>
      <c r="HG1958" s="1"/>
      <c r="HH1958" s="1"/>
    </row>
    <row r="1959" spans="1:216" x14ac:dyDescent="0.3">
      <c r="A1959" s="3"/>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c r="DX1959" s="1"/>
      <c r="DY1959" s="1"/>
      <c r="DZ1959" s="1"/>
      <c r="EA1959" s="1"/>
      <c r="EB1959" s="1"/>
      <c r="EC1959" s="1"/>
      <c r="ED1959" s="1"/>
      <c r="EE1959" s="1"/>
      <c r="EF1959" s="1"/>
      <c r="EG1959" s="1"/>
      <c r="EH1959" s="1"/>
      <c r="EI1959" s="1"/>
      <c r="EJ1959" s="1"/>
      <c r="EK1959" s="1"/>
      <c r="EL1959" s="1"/>
      <c r="EM1959" s="1"/>
      <c r="EN1959" s="1"/>
      <c r="EO1959" s="1"/>
      <c r="EP1959" s="1"/>
      <c r="EQ1959" s="1"/>
      <c r="ER1959" s="1"/>
      <c r="ES1959" s="1"/>
      <c r="ET1959" s="1"/>
      <c r="EU1959" s="1"/>
      <c r="EV1959" s="1"/>
      <c r="EW1959" s="1"/>
      <c r="EX1959" s="1"/>
      <c r="EY1959" s="1"/>
      <c r="EZ1959" s="1"/>
      <c r="FA1959" s="1"/>
      <c r="FB1959" s="1"/>
      <c r="FC1959" s="1"/>
      <c r="FD1959" s="1"/>
      <c r="FE1959" s="1"/>
      <c r="FF1959" s="1"/>
      <c r="FG1959" s="1"/>
      <c r="FH1959" s="1"/>
      <c r="FI1959" s="1"/>
      <c r="FJ1959" s="1"/>
      <c r="FK1959" s="1"/>
      <c r="FL1959" s="1"/>
      <c r="FM1959" s="1"/>
      <c r="FN1959" s="1"/>
      <c r="FO1959" s="1"/>
      <c r="FP1959" s="1"/>
      <c r="FQ1959" s="1"/>
      <c r="FR1959" s="1"/>
      <c r="FS1959" s="1"/>
      <c r="FT1959" s="1"/>
      <c r="FU1959" s="1"/>
      <c r="FV1959" s="1"/>
      <c r="FW1959" s="1"/>
      <c r="FX1959" s="1"/>
      <c r="FY1959" s="1"/>
      <c r="FZ1959" s="1"/>
      <c r="GA1959" s="1"/>
      <c r="GB1959" s="1"/>
      <c r="GC1959" s="1"/>
      <c r="GD1959" s="1"/>
      <c r="GE1959" s="1"/>
      <c r="GF1959" s="1"/>
      <c r="GG1959" s="1"/>
      <c r="GH1959" s="1"/>
      <c r="GI1959" s="1"/>
      <c r="GJ1959" s="1"/>
      <c r="GK1959" s="1"/>
      <c r="GL1959" s="1"/>
      <c r="GM1959" s="1"/>
      <c r="GN1959" s="1"/>
      <c r="GO1959" s="1"/>
      <c r="GP1959" s="1"/>
      <c r="GQ1959" s="1"/>
      <c r="GR1959" s="1"/>
      <c r="GS1959" s="1"/>
      <c r="GT1959" s="1"/>
      <c r="GU1959" s="1"/>
      <c r="GV1959" s="1"/>
      <c r="GW1959" s="1"/>
      <c r="GX1959" s="1"/>
      <c r="GY1959" s="1"/>
      <c r="GZ1959" s="1"/>
      <c r="HA1959" s="1"/>
      <c r="HB1959" s="1"/>
      <c r="HC1959" s="1"/>
      <c r="HD1959" s="1"/>
      <c r="HE1959" s="1"/>
      <c r="HF1959" s="1"/>
      <c r="HG1959" s="1"/>
      <c r="HH1959" s="1"/>
    </row>
    <row r="1960" spans="1:216" x14ac:dyDescent="0.3">
      <c r="A1960" s="3"/>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c r="FM1960" s="1"/>
      <c r="FN1960" s="1"/>
      <c r="FO1960" s="1"/>
      <c r="FP1960" s="1"/>
      <c r="FQ1960" s="1"/>
      <c r="FR1960" s="1"/>
      <c r="FS1960" s="1"/>
      <c r="FT1960" s="1"/>
      <c r="FU1960" s="1"/>
      <c r="FV1960" s="1"/>
      <c r="FW1960" s="1"/>
      <c r="FX1960" s="1"/>
      <c r="FY1960" s="1"/>
      <c r="FZ1960" s="1"/>
      <c r="GA1960" s="1"/>
      <c r="GB1960" s="1"/>
      <c r="GC1960" s="1"/>
      <c r="GD1960" s="1"/>
      <c r="GE1960" s="1"/>
      <c r="GF1960" s="1"/>
      <c r="GG1960" s="1"/>
      <c r="GH1960" s="1"/>
      <c r="GI1960" s="1"/>
      <c r="GJ1960" s="1"/>
      <c r="GK1960" s="1"/>
      <c r="GL1960" s="1"/>
      <c r="GM1960" s="1"/>
      <c r="GN1960" s="1"/>
      <c r="GO1960" s="1"/>
      <c r="GP1960" s="1"/>
      <c r="GQ1960" s="1"/>
      <c r="GR1960" s="1"/>
      <c r="GS1960" s="1"/>
      <c r="GT1960" s="1"/>
      <c r="GU1960" s="1"/>
      <c r="GV1960" s="1"/>
      <c r="GW1960" s="1"/>
      <c r="GX1960" s="1"/>
      <c r="GY1960" s="1"/>
      <c r="GZ1960" s="1"/>
      <c r="HA1960" s="1"/>
      <c r="HB1960" s="1"/>
      <c r="HC1960" s="1"/>
      <c r="HD1960" s="1"/>
      <c r="HE1960" s="1"/>
      <c r="HF1960" s="1"/>
      <c r="HG1960" s="1"/>
      <c r="HH1960" s="1"/>
    </row>
    <row r="1961" spans="1:216" x14ac:dyDescent="0.3">
      <c r="A1961" s="3"/>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c r="DU1961" s="1"/>
      <c r="DV1961" s="1"/>
      <c r="DW1961" s="1"/>
      <c r="DX1961" s="1"/>
      <c r="DY1961" s="1"/>
      <c r="DZ1961" s="1"/>
      <c r="EA1961" s="1"/>
      <c r="EB1961" s="1"/>
      <c r="EC1961" s="1"/>
      <c r="ED1961" s="1"/>
      <c r="EE1961" s="1"/>
      <c r="EF1961" s="1"/>
      <c r="EG1961" s="1"/>
      <c r="EH1961" s="1"/>
      <c r="EI1961" s="1"/>
      <c r="EJ1961" s="1"/>
      <c r="EK1961" s="1"/>
      <c r="EL1961" s="1"/>
      <c r="EM1961" s="1"/>
      <c r="EN1961" s="1"/>
      <c r="EO1961" s="1"/>
      <c r="EP1961" s="1"/>
      <c r="EQ1961" s="1"/>
      <c r="ER1961" s="1"/>
      <c r="ES1961" s="1"/>
      <c r="ET1961" s="1"/>
      <c r="EU1961" s="1"/>
      <c r="EV1961" s="1"/>
      <c r="EW1961" s="1"/>
      <c r="EX1961" s="1"/>
      <c r="EY1961" s="1"/>
      <c r="EZ1961" s="1"/>
      <c r="FA1961" s="1"/>
      <c r="FB1961" s="1"/>
      <c r="FC1961" s="1"/>
      <c r="FD1961" s="1"/>
      <c r="FE1961" s="1"/>
      <c r="FF1961" s="1"/>
      <c r="FG1961" s="1"/>
      <c r="FH1961" s="1"/>
      <c r="FI1961" s="1"/>
      <c r="FJ1961" s="1"/>
      <c r="FK1961" s="1"/>
      <c r="FL1961" s="1"/>
      <c r="FM1961" s="1"/>
      <c r="FN1961" s="1"/>
      <c r="FO1961" s="1"/>
      <c r="FP1961" s="1"/>
      <c r="FQ1961" s="1"/>
      <c r="FR1961" s="1"/>
      <c r="FS1961" s="1"/>
      <c r="FT1961" s="1"/>
      <c r="FU1961" s="1"/>
      <c r="FV1961" s="1"/>
      <c r="FW1961" s="1"/>
      <c r="FX1961" s="1"/>
      <c r="FY1961" s="1"/>
      <c r="FZ1961" s="1"/>
      <c r="GA1961" s="1"/>
      <c r="GB1961" s="1"/>
      <c r="GC1961" s="1"/>
      <c r="GD1961" s="1"/>
      <c r="GE1961" s="1"/>
      <c r="GF1961" s="1"/>
      <c r="GG1961" s="1"/>
      <c r="GH1961" s="1"/>
      <c r="GI1961" s="1"/>
      <c r="GJ1961" s="1"/>
      <c r="GK1961" s="1"/>
      <c r="GL1961" s="1"/>
      <c r="GM1961" s="1"/>
      <c r="GN1961" s="1"/>
      <c r="GO1961" s="1"/>
      <c r="GP1961" s="1"/>
      <c r="GQ1961" s="1"/>
      <c r="GR1961" s="1"/>
      <c r="GS1961" s="1"/>
      <c r="GT1961" s="1"/>
      <c r="GU1961" s="1"/>
      <c r="GV1961" s="1"/>
      <c r="GW1961" s="1"/>
      <c r="GX1961" s="1"/>
      <c r="GY1961" s="1"/>
      <c r="GZ1961" s="1"/>
      <c r="HA1961" s="1"/>
      <c r="HB1961" s="1"/>
      <c r="HC1961" s="1"/>
      <c r="HD1961" s="1"/>
      <c r="HE1961" s="1"/>
      <c r="HF1961" s="1"/>
      <c r="HG1961" s="1"/>
      <c r="HH1961" s="1"/>
    </row>
    <row r="1962" spans="1:216" x14ac:dyDescent="0.3">
      <c r="A1962" s="3"/>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c r="DU1962" s="1"/>
      <c r="DV1962" s="1"/>
      <c r="DW1962" s="1"/>
      <c r="DX1962" s="1"/>
      <c r="DY1962" s="1"/>
      <c r="DZ1962" s="1"/>
      <c r="EA1962" s="1"/>
      <c r="EB1962" s="1"/>
      <c r="EC1962" s="1"/>
      <c r="ED1962" s="1"/>
      <c r="EE1962" s="1"/>
      <c r="EF1962" s="1"/>
      <c r="EG1962" s="1"/>
      <c r="EH1962" s="1"/>
      <c r="EI1962" s="1"/>
      <c r="EJ1962" s="1"/>
      <c r="EK1962" s="1"/>
      <c r="EL1962" s="1"/>
      <c r="EM1962" s="1"/>
      <c r="EN1962" s="1"/>
      <c r="EO1962" s="1"/>
      <c r="EP1962" s="1"/>
      <c r="EQ1962" s="1"/>
      <c r="ER1962" s="1"/>
      <c r="ES1962" s="1"/>
      <c r="ET1962" s="1"/>
      <c r="EU1962" s="1"/>
      <c r="EV1962" s="1"/>
      <c r="EW1962" s="1"/>
      <c r="EX1962" s="1"/>
      <c r="EY1962" s="1"/>
      <c r="EZ1962" s="1"/>
      <c r="FA1962" s="1"/>
      <c r="FB1962" s="1"/>
      <c r="FC1962" s="1"/>
      <c r="FD1962" s="1"/>
      <c r="FE1962" s="1"/>
      <c r="FF1962" s="1"/>
      <c r="FG1962" s="1"/>
      <c r="FH1962" s="1"/>
      <c r="FI1962" s="1"/>
      <c r="FJ1962" s="1"/>
      <c r="FK1962" s="1"/>
      <c r="FL1962" s="1"/>
      <c r="FM1962" s="1"/>
      <c r="FN1962" s="1"/>
      <c r="FO1962" s="1"/>
      <c r="FP1962" s="1"/>
      <c r="FQ1962" s="1"/>
      <c r="FR1962" s="1"/>
      <c r="FS1962" s="1"/>
      <c r="FT1962" s="1"/>
      <c r="FU1962" s="1"/>
      <c r="FV1962" s="1"/>
      <c r="FW1962" s="1"/>
      <c r="FX1962" s="1"/>
      <c r="FY1962" s="1"/>
      <c r="FZ1962" s="1"/>
      <c r="GA1962" s="1"/>
      <c r="GB1962" s="1"/>
      <c r="GC1962" s="1"/>
      <c r="GD1962" s="1"/>
      <c r="GE1962" s="1"/>
      <c r="GF1962" s="1"/>
      <c r="GG1962" s="1"/>
      <c r="GH1962" s="1"/>
      <c r="GI1962" s="1"/>
      <c r="GJ1962" s="1"/>
      <c r="GK1962" s="1"/>
      <c r="GL1962" s="1"/>
      <c r="GM1962" s="1"/>
      <c r="GN1962" s="1"/>
      <c r="GO1962" s="1"/>
      <c r="GP1962" s="1"/>
      <c r="GQ1962" s="1"/>
      <c r="GR1962" s="1"/>
      <c r="GS1962" s="1"/>
      <c r="GT1962" s="1"/>
      <c r="GU1962" s="1"/>
      <c r="GV1962" s="1"/>
      <c r="GW1962" s="1"/>
      <c r="GX1962" s="1"/>
      <c r="GY1962" s="1"/>
      <c r="GZ1962" s="1"/>
      <c r="HA1962" s="1"/>
      <c r="HB1962" s="1"/>
      <c r="HC1962" s="1"/>
      <c r="HD1962" s="1"/>
      <c r="HE1962" s="1"/>
      <c r="HF1962" s="1"/>
      <c r="HG1962" s="1"/>
      <c r="HH1962" s="1"/>
    </row>
    <row r="1963" spans="1:216" x14ac:dyDescent="0.3">
      <c r="A1963" s="3"/>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c r="DU1963" s="1"/>
      <c r="DV1963" s="1"/>
      <c r="DW1963" s="1"/>
      <c r="DX1963" s="1"/>
      <c r="DY1963" s="1"/>
      <c r="DZ1963" s="1"/>
      <c r="EA1963" s="1"/>
      <c r="EB1963" s="1"/>
      <c r="EC1963" s="1"/>
      <c r="ED1963" s="1"/>
      <c r="EE1963" s="1"/>
      <c r="EF1963" s="1"/>
      <c r="EG1963" s="1"/>
      <c r="EH1963" s="1"/>
      <c r="EI1963" s="1"/>
      <c r="EJ1963" s="1"/>
      <c r="EK1963" s="1"/>
      <c r="EL1963" s="1"/>
      <c r="EM1963" s="1"/>
      <c r="EN1963" s="1"/>
      <c r="EO1963" s="1"/>
      <c r="EP1963" s="1"/>
      <c r="EQ1963" s="1"/>
      <c r="ER1963" s="1"/>
      <c r="ES1963" s="1"/>
      <c r="ET1963" s="1"/>
      <c r="EU1963" s="1"/>
      <c r="EV1963" s="1"/>
      <c r="EW1963" s="1"/>
      <c r="EX1963" s="1"/>
      <c r="EY1963" s="1"/>
      <c r="EZ1963" s="1"/>
      <c r="FA1963" s="1"/>
      <c r="FB1963" s="1"/>
      <c r="FC1963" s="1"/>
      <c r="FD1963" s="1"/>
      <c r="FE1963" s="1"/>
      <c r="FF1963" s="1"/>
      <c r="FG1963" s="1"/>
      <c r="FH1963" s="1"/>
      <c r="FI1963" s="1"/>
      <c r="FJ1963" s="1"/>
      <c r="FK1963" s="1"/>
      <c r="FL1963" s="1"/>
      <c r="FM1963" s="1"/>
      <c r="FN1963" s="1"/>
      <c r="FO1963" s="1"/>
      <c r="FP1963" s="1"/>
      <c r="FQ1963" s="1"/>
      <c r="FR1963" s="1"/>
      <c r="FS1963" s="1"/>
      <c r="FT1963" s="1"/>
      <c r="FU1963" s="1"/>
      <c r="FV1963" s="1"/>
      <c r="FW1963" s="1"/>
      <c r="FX1963" s="1"/>
      <c r="FY1963" s="1"/>
      <c r="FZ1963" s="1"/>
      <c r="GA1963" s="1"/>
      <c r="GB1963" s="1"/>
      <c r="GC1963" s="1"/>
      <c r="GD1963" s="1"/>
      <c r="GE1963" s="1"/>
      <c r="GF1963" s="1"/>
      <c r="GG1963" s="1"/>
      <c r="GH1963" s="1"/>
      <c r="GI1963" s="1"/>
      <c r="GJ1963" s="1"/>
      <c r="GK1963" s="1"/>
      <c r="GL1963" s="1"/>
      <c r="GM1963" s="1"/>
      <c r="GN1963" s="1"/>
      <c r="GO1963" s="1"/>
      <c r="GP1963" s="1"/>
      <c r="GQ1963" s="1"/>
      <c r="GR1963" s="1"/>
      <c r="GS1963" s="1"/>
      <c r="GT1963" s="1"/>
      <c r="GU1963" s="1"/>
      <c r="GV1963" s="1"/>
      <c r="GW1963" s="1"/>
      <c r="GX1963" s="1"/>
      <c r="GY1963" s="1"/>
      <c r="GZ1963" s="1"/>
      <c r="HA1963" s="1"/>
      <c r="HB1963" s="1"/>
      <c r="HC1963" s="1"/>
      <c r="HD1963" s="1"/>
      <c r="HE1963" s="1"/>
      <c r="HF1963" s="1"/>
      <c r="HG1963" s="1"/>
      <c r="HH1963" s="1"/>
    </row>
    <row r="1964" spans="1:216" x14ac:dyDescent="0.3">
      <c r="A1964" s="3"/>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
      <c r="DQ1964" s="1"/>
      <c r="DR1964" s="1"/>
      <c r="DS1964" s="1"/>
      <c r="DT1964" s="1"/>
      <c r="DU1964" s="1"/>
      <c r="DV1964" s="1"/>
      <c r="DW1964" s="1"/>
      <c r="DX1964" s="1"/>
      <c r="DY1964" s="1"/>
      <c r="DZ1964" s="1"/>
      <c r="EA1964" s="1"/>
      <c r="EB1964" s="1"/>
      <c r="EC1964" s="1"/>
      <c r="ED1964" s="1"/>
      <c r="EE1964" s="1"/>
      <c r="EF1964" s="1"/>
      <c r="EG1964" s="1"/>
      <c r="EH1964" s="1"/>
      <c r="EI1964" s="1"/>
      <c r="EJ1964" s="1"/>
      <c r="EK1964" s="1"/>
      <c r="EL1964" s="1"/>
      <c r="EM1964" s="1"/>
      <c r="EN1964" s="1"/>
      <c r="EO1964" s="1"/>
      <c r="EP1964" s="1"/>
      <c r="EQ1964" s="1"/>
      <c r="ER1964" s="1"/>
      <c r="ES1964" s="1"/>
      <c r="ET1964" s="1"/>
      <c r="EU1964" s="1"/>
      <c r="EV1964" s="1"/>
      <c r="EW1964" s="1"/>
      <c r="EX1964" s="1"/>
      <c r="EY1964" s="1"/>
      <c r="EZ1964" s="1"/>
      <c r="FA1964" s="1"/>
      <c r="FB1964" s="1"/>
      <c r="FC1964" s="1"/>
      <c r="FD1964" s="1"/>
      <c r="FE1964" s="1"/>
      <c r="FF1964" s="1"/>
      <c r="FG1964" s="1"/>
      <c r="FH1964" s="1"/>
      <c r="FI1964" s="1"/>
      <c r="FJ1964" s="1"/>
      <c r="FK1964" s="1"/>
      <c r="FL1964" s="1"/>
      <c r="FM1964" s="1"/>
      <c r="FN1964" s="1"/>
      <c r="FO1964" s="1"/>
      <c r="FP1964" s="1"/>
      <c r="FQ1964" s="1"/>
      <c r="FR1964" s="1"/>
      <c r="FS1964" s="1"/>
      <c r="FT1964" s="1"/>
      <c r="FU1964" s="1"/>
      <c r="FV1964" s="1"/>
      <c r="FW1964" s="1"/>
      <c r="FX1964" s="1"/>
      <c r="FY1964" s="1"/>
      <c r="FZ1964" s="1"/>
      <c r="GA1964" s="1"/>
      <c r="GB1964" s="1"/>
      <c r="GC1964" s="1"/>
      <c r="GD1964" s="1"/>
      <c r="GE1964" s="1"/>
      <c r="GF1964" s="1"/>
      <c r="GG1964" s="1"/>
      <c r="GH1964" s="1"/>
      <c r="GI1964" s="1"/>
      <c r="GJ1964" s="1"/>
      <c r="GK1964" s="1"/>
      <c r="GL1964" s="1"/>
      <c r="GM1964" s="1"/>
      <c r="GN1964" s="1"/>
      <c r="GO1964" s="1"/>
      <c r="GP1964" s="1"/>
      <c r="GQ1964" s="1"/>
      <c r="GR1964" s="1"/>
      <c r="GS1964" s="1"/>
      <c r="GT1964" s="1"/>
      <c r="GU1964" s="1"/>
      <c r="GV1964" s="1"/>
      <c r="GW1964" s="1"/>
      <c r="GX1964" s="1"/>
      <c r="GY1964" s="1"/>
      <c r="GZ1964" s="1"/>
      <c r="HA1964" s="1"/>
      <c r="HB1964" s="1"/>
      <c r="HC1964" s="1"/>
      <c r="HD1964" s="1"/>
      <c r="HE1964" s="1"/>
      <c r="HF1964" s="1"/>
      <c r="HG1964" s="1"/>
      <c r="HH1964" s="1"/>
    </row>
    <row r="1965" spans="1:216" x14ac:dyDescent="0.3">
      <c r="A1965" s="3"/>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c r="DU1965" s="1"/>
      <c r="DV1965" s="1"/>
      <c r="DW1965" s="1"/>
      <c r="DX1965" s="1"/>
      <c r="DY1965" s="1"/>
      <c r="DZ1965" s="1"/>
      <c r="EA1965" s="1"/>
      <c r="EB1965" s="1"/>
      <c r="EC1965" s="1"/>
      <c r="ED1965" s="1"/>
      <c r="EE1965" s="1"/>
      <c r="EF1965" s="1"/>
      <c r="EG1965" s="1"/>
      <c r="EH1965" s="1"/>
      <c r="EI1965" s="1"/>
      <c r="EJ1965" s="1"/>
      <c r="EK1965" s="1"/>
      <c r="EL1965" s="1"/>
      <c r="EM1965" s="1"/>
      <c r="EN1965" s="1"/>
      <c r="EO1965" s="1"/>
      <c r="EP1965" s="1"/>
      <c r="EQ1965" s="1"/>
      <c r="ER1965" s="1"/>
      <c r="ES1965" s="1"/>
      <c r="ET1965" s="1"/>
      <c r="EU1965" s="1"/>
      <c r="EV1965" s="1"/>
      <c r="EW1965" s="1"/>
      <c r="EX1965" s="1"/>
      <c r="EY1965" s="1"/>
      <c r="EZ1965" s="1"/>
      <c r="FA1965" s="1"/>
      <c r="FB1965" s="1"/>
      <c r="FC1965" s="1"/>
      <c r="FD1965" s="1"/>
      <c r="FE1965" s="1"/>
      <c r="FF1965" s="1"/>
      <c r="FG1965" s="1"/>
      <c r="FH1965" s="1"/>
      <c r="FI1965" s="1"/>
      <c r="FJ1965" s="1"/>
      <c r="FK1965" s="1"/>
      <c r="FL1965" s="1"/>
      <c r="FM1965" s="1"/>
      <c r="FN1965" s="1"/>
      <c r="FO1965" s="1"/>
      <c r="FP1965" s="1"/>
      <c r="FQ1965" s="1"/>
      <c r="FR1965" s="1"/>
      <c r="FS1965" s="1"/>
      <c r="FT1965" s="1"/>
      <c r="FU1965" s="1"/>
      <c r="FV1965" s="1"/>
      <c r="FW1965" s="1"/>
      <c r="FX1965" s="1"/>
      <c r="FY1965" s="1"/>
      <c r="FZ1965" s="1"/>
      <c r="GA1965" s="1"/>
      <c r="GB1965" s="1"/>
      <c r="GC1965" s="1"/>
      <c r="GD1965" s="1"/>
      <c r="GE1965" s="1"/>
      <c r="GF1965" s="1"/>
      <c r="GG1965" s="1"/>
      <c r="GH1965" s="1"/>
      <c r="GI1965" s="1"/>
      <c r="GJ1965" s="1"/>
      <c r="GK1965" s="1"/>
      <c r="GL1965" s="1"/>
      <c r="GM1965" s="1"/>
      <c r="GN1965" s="1"/>
      <c r="GO1965" s="1"/>
      <c r="GP1965" s="1"/>
      <c r="GQ1965" s="1"/>
      <c r="GR1965" s="1"/>
      <c r="GS1965" s="1"/>
      <c r="GT1965" s="1"/>
      <c r="GU1965" s="1"/>
      <c r="GV1965" s="1"/>
      <c r="GW1965" s="1"/>
      <c r="GX1965" s="1"/>
      <c r="GY1965" s="1"/>
      <c r="GZ1965" s="1"/>
      <c r="HA1965" s="1"/>
      <c r="HB1965" s="1"/>
      <c r="HC1965" s="1"/>
      <c r="HD1965" s="1"/>
      <c r="HE1965" s="1"/>
      <c r="HF1965" s="1"/>
      <c r="HG1965" s="1"/>
      <c r="HH1965" s="1"/>
    </row>
    <row r="1966" spans="1:216" x14ac:dyDescent="0.3">
      <c r="A1966" s="3"/>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c r="DU1966" s="1"/>
      <c r="DV1966" s="1"/>
      <c r="DW1966" s="1"/>
      <c r="DX1966" s="1"/>
      <c r="DY1966" s="1"/>
      <c r="DZ1966" s="1"/>
      <c r="EA1966" s="1"/>
      <c r="EB1966" s="1"/>
      <c r="EC1966" s="1"/>
      <c r="ED1966" s="1"/>
      <c r="EE1966" s="1"/>
      <c r="EF1966" s="1"/>
      <c r="EG1966" s="1"/>
      <c r="EH1966" s="1"/>
      <c r="EI1966" s="1"/>
      <c r="EJ1966" s="1"/>
      <c r="EK1966" s="1"/>
      <c r="EL1966" s="1"/>
      <c r="EM1966" s="1"/>
      <c r="EN1966" s="1"/>
      <c r="EO1966" s="1"/>
      <c r="EP1966" s="1"/>
      <c r="EQ1966" s="1"/>
      <c r="ER1966" s="1"/>
      <c r="ES1966" s="1"/>
      <c r="ET1966" s="1"/>
      <c r="EU1966" s="1"/>
      <c r="EV1966" s="1"/>
      <c r="EW1966" s="1"/>
      <c r="EX1966" s="1"/>
      <c r="EY1966" s="1"/>
      <c r="EZ1966" s="1"/>
      <c r="FA1966" s="1"/>
      <c r="FB1966" s="1"/>
      <c r="FC1966" s="1"/>
      <c r="FD1966" s="1"/>
      <c r="FE1966" s="1"/>
      <c r="FF1966" s="1"/>
      <c r="FG1966" s="1"/>
      <c r="FH1966" s="1"/>
      <c r="FI1966" s="1"/>
      <c r="FJ1966" s="1"/>
      <c r="FK1966" s="1"/>
      <c r="FL1966" s="1"/>
      <c r="FM1966" s="1"/>
      <c r="FN1966" s="1"/>
      <c r="FO1966" s="1"/>
      <c r="FP1966" s="1"/>
      <c r="FQ1966" s="1"/>
      <c r="FR1966" s="1"/>
      <c r="FS1966" s="1"/>
      <c r="FT1966" s="1"/>
      <c r="FU1966" s="1"/>
      <c r="FV1966" s="1"/>
      <c r="FW1966" s="1"/>
      <c r="FX1966" s="1"/>
      <c r="FY1966" s="1"/>
      <c r="FZ1966" s="1"/>
      <c r="GA1966" s="1"/>
      <c r="GB1966" s="1"/>
      <c r="GC1966" s="1"/>
      <c r="GD1966" s="1"/>
      <c r="GE1966" s="1"/>
      <c r="GF1966" s="1"/>
      <c r="GG1966" s="1"/>
      <c r="GH1966" s="1"/>
      <c r="GI1966" s="1"/>
      <c r="GJ1966" s="1"/>
      <c r="GK1966" s="1"/>
      <c r="GL1966" s="1"/>
      <c r="GM1966" s="1"/>
      <c r="GN1966" s="1"/>
      <c r="GO1966" s="1"/>
      <c r="GP1966" s="1"/>
      <c r="GQ1966" s="1"/>
      <c r="GR1966" s="1"/>
      <c r="GS1966" s="1"/>
      <c r="GT1966" s="1"/>
      <c r="GU1966" s="1"/>
      <c r="GV1966" s="1"/>
      <c r="GW1966" s="1"/>
      <c r="GX1966" s="1"/>
      <c r="GY1966" s="1"/>
      <c r="GZ1966" s="1"/>
      <c r="HA1966" s="1"/>
      <c r="HB1966" s="1"/>
      <c r="HC1966" s="1"/>
      <c r="HD1966" s="1"/>
      <c r="HE1966" s="1"/>
      <c r="HF1966" s="1"/>
      <c r="HG1966" s="1"/>
      <c r="HH1966" s="1"/>
    </row>
    <row r="1967" spans="1:216" x14ac:dyDescent="0.3">
      <c r="A1967" s="3"/>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
      <c r="DQ1967" s="1"/>
      <c r="DR1967" s="1"/>
      <c r="DS1967" s="1"/>
      <c r="DT1967" s="1"/>
      <c r="DU1967" s="1"/>
      <c r="DV1967" s="1"/>
      <c r="DW1967" s="1"/>
      <c r="DX1967" s="1"/>
      <c r="DY1967" s="1"/>
      <c r="DZ1967" s="1"/>
      <c r="EA1967" s="1"/>
      <c r="EB1967" s="1"/>
      <c r="EC1967" s="1"/>
      <c r="ED1967" s="1"/>
      <c r="EE1967" s="1"/>
      <c r="EF1967" s="1"/>
      <c r="EG1967" s="1"/>
      <c r="EH1967" s="1"/>
      <c r="EI1967" s="1"/>
      <c r="EJ1967" s="1"/>
      <c r="EK1967" s="1"/>
      <c r="EL1967" s="1"/>
      <c r="EM1967" s="1"/>
      <c r="EN1967" s="1"/>
      <c r="EO1967" s="1"/>
      <c r="EP1967" s="1"/>
      <c r="EQ1967" s="1"/>
      <c r="ER1967" s="1"/>
      <c r="ES1967" s="1"/>
      <c r="ET1967" s="1"/>
      <c r="EU1967" s="1"/>
      <c r="EV1967" s="1"/>
      <c r="EW1967" s="1"/>
      <c r="EX1967" s="1"/>
      <c r="EY1967" s="1"/>
      <c r="EZ1967" s="1"/>
      <c r="FA1967" s="1"/>
      <c r="FB1967" s="1"/>
      <c r="FC1967" s="1"/>
      <c r="FD1967" s="1"/>
      <c r="FE1967" s="1"/>
      <c r="FF1967" s="1"/>
      <c r="FG1967" s="1"/>
      <c r="FH1967" s="1"/>
      <c r="FI1967" s="1"/>
      <c r="FJ1967" s="1"/>
      <c r="FK1967" s="1"/>
      <c r="FL1967" s="1"/>
      <c r="FM1967" s="1"/>
      <c r="FN1967" s="1"/>
      <c r="FO1967" s="1"/>
      <c r="FP1967" s="1"/>
      <c r="FQ1967" s="1"/>
      <c r="FR1967" s="1"/>
      <c r="FS1967" s="1"/>
      <c r="FT1967" s="1"/>
      <c r="FU1967" s="1"/>
      <c r="FV1967" s="1"/>
      <c r="FW1967" s="1"/>
      <c r="FX1967" s="1"/>
      <c r="FY1967" s="1"/>
      <c r="FZ1967" s="1"/>
      <c r="GA1967" s="1"/>
      <c r="GB1967" s="1"/>
      <c r="GC1967" s="1"/>
      <c r="GD1967" s="1"/>
      <c r="GE1967" s="1"/>
      <c r="GF1967" s="1"/>
      <c r="GG1967" s="1"/>
      <c r="GH1967" s="1"/>
      <c r="GI1967" s="1"/>
      <c r="GJ1967" s="1"/>
      <c r="GK1967" s="1"/>
      <c r="GL1967" s="1"/>
      <c r="GM1967" s="1"/>
      <c r="GN1967" s="1"/>
      <c r="GO1967" s="1"/>
      <c r="GP1967" s="1"/>
      <c r="GQ1967" s="1"/>
      <c r="GR1967" s="1"/>
      <c r="GS1967" s="1"/>
      <c r="GT1967" s="1"/>
      <c r="GU1967" s="1"/>
      <c r="GV1967" s="1"/>
      <c r="GW1967" s="1"/>
      <c r="GX1967" s="1"/>
      <c r="GY1967" s="1"/>
      <c r="GZ1967" s="1"/>
      <c r="HA1967" s="1"/>
      <c r="HB1967" s="1"/>
      <c r="HC1967" s="1"/>
      <c r="HD1967" s="1"/>
      <c r="HE1967" s="1"/>
      <c r="HF1967" s="1"/>
      <c r="HG1967" s="1"/>
      <c r="HH1967" s="1"/>
    </row>
    <row r="1968" spans="1:216" x14ac:dyDescent="0.3">
      <c r="A1968" s="3"/>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c r="DU1968" s="1"/>
      <c r="DV1968" s="1"/>
      <c r="DW1968" s="1"/>
      <c r="DX1968" s="1"/>
      <c r="DY1968" s="1"/>
      <c r="DZ1968" s="1"/>
      <c r="EA1968" s="1"/>
      <c r="EB1968" s="1"/>
      <c r="EC1968" s="1"/>
      <c r="ED1968" s="1"/>
      <c r="EE1968" s="1"/>
      <c r="EF1968" s="1"/>
      <c r="EG1968" s="1"/>
      <c r="EH1968" s="1"/>
      <c r="EI1968" s="1"/>
      <c r="EJ1968" s="1"/>
      <c r="EK1968" s="1"/>
      <c r="EL1968" s="1"/>
      <c r="EM1968" s="1"/>
      <c r="EN1968" s="1"/>
      <c r="EO1968" s="1"/>
      <c r="EP1968" s="1"/>
      <c r="EQ1968" s="1"/>
      <c r="ER1968" s="1"/>
      <c r="ES1968" s="1"/>
      <c r="ET1968" s="1"/>
      <c r="EU1968" s="1"/>
      <c r="EV1968" s="1"/>
      <c r="EW1968" s="1"/>
      <c r="EX1968" s="1"/>
      <c r="EY1968" s="1"/>
      <c r="EZ1968" s="1"/>
      <c r="FA1968" s="1"/>
      <c r="FB1968" s="1"/>
      <c r="FC1968" s="1"/>
      <c r="FD1968" s="1"/>
      <c r="FE1968" s="1"/>
      <c r="FF1968" s="1"/>
      <c r="FG1968" s="1"/>
      <c r="FH1968" s="1"/>
      <c r="FI1968" s="1"/>
      <c r="FJ1968" s="1"/>
      <c r="FK1968" s="1"/>
      <c r="FL1968" s="1"/>
      <c r="FM1968" s="1"/>
      <c r="FN1968" s="1"/>
      <c r="FO1968" s="1"/>
      <c r="FP1968" s="1"/>
      <c r="FQ1968" s="1"/>
      <c r="FR1968" s="1"/>
      <c r="FS1968" s="1"/>
      <c r="FT1968" s="1"/>
      <c r="FU1968" s="1"/>
      <c r="FV1968" s="1"/>
      <c r="FW1968" s="1"/>
      <c r="FX1968" s="1"/>
      <c r="FY1968" s="1"/>
      <c r="FZ1968" s="1"/>
      <c r="GA1968" s="1"/>
      <c r="GB1968" s="1"/>
      <c r="GC1968" s="1"/>
      <c r="GD1968" s="1"/>
      <c r="GE1968" s="1"/>
      <c r="GF1968" s="1"/>
      <c r="GG1968" s="1"/>
      <c r="GH1968" s="1"/>
      <c r="GI1968" s="1"/>
      <c r="GJ1968" s="1"/>
      <c r="GK1968" s="1"/>
      <c r="GL1968" s="1"/>
      <c r="GM1968" s="1"/>
      <c r="GN1968" s="1"/>
      <c r="GO1968" s="1"/>
      <c r="GP1968" s="1"/>
      <c r="GQ1968" s="1"/>
      <c r="GR1968" s="1"/>
      <c r="GS1968" s="1"/>
      <c r="GT1968" s="1"/>
      <c r="GU1968" s="1"/>
      <c r="GV1968" s="1"/>
      <c r="GW1968" s="1"/>
      <c r="GX1968" s="1"/>
      <c r="GY1968" s="1"/>
      <c r="GZ1968" s="1"/>
      <c r="HA1968" s="1"/>
      <c r="HB1968" s="1"/>
      <c r="HC1968" s="1"/>
      <c r="HD1968" s="1"/>
      <c r="HE1968" s="1"/>
      <c r="HF1968" s="1"/>
      <c r="HG1968" s="1"/>
      <c r="HH1968" s="1"/>
    </row>
    <row r="1969" spans="1:216" x14ac:dyDescent="0.3">
      <c r="A1969" s="3"/>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c r="DU1969" s="1"/>
      <c r="DV1969" s="1"/>
      <c r="DW1969" s="1"/>
      <c r="DX1969" s="1"/>
      <c r="DY1969" s="1"/>
      <c r="DZ1969" s="1"/>
      <c r="EA1969" s="1"/>
      <c r="EB1969" s="1"/>
      <c r="EC1969" s="1"/>
      <c r="ED1969" s="1"/>
      <c r="EE1969" s="1"/>
      <c r="EF1969" s="1"/>
      <c r="EG1969" s="1"/>
      <c r="EH1969" s="1"/>
      <c r="EI1969" s="1"/>
      <c r="EJ1969" s="1"/>
      <c r="EK1969" s="1"/>
      <c r="EL1969" s="1"/>
      <c r="EM1969" s="1"/>
      <c r="EN1969" s="1"/>
      <c r="EO1969" s="1"/>
      <c r="EP1969" s="1"/>
      <c r="EQ1969" s="1"/>
      <c r="ER1969" s="1"/>
      <c r="ES1969" s="1"/>
      <c r="ET1969" s="1"/>
      <c r="EU1969" s="1"/>
      <c r="EV1969" s="1"/>
      <c r="EW1969" s="1"/>
      <c r="EX1969" s="1"/>
      <c r="EY1969" s="1"/>
      <c r="EZ1969" s="1"/>
      <c r="FA1969" s="1"/>
      <c r="FB1969" s="1"/>
      <c r="FC1969" s="1"/>
      <c r="FD1969" s="1"/>
      <c r="FE1969" s="1"/>
      <c r="FF1969" s="1"/>
      <c r="FG1969" s="1"/>
      <c r="FH1969" s="1"/>
      <c r="FI1969" s="1"/>
      <c r="FJ1969" s="1"/>
      <c r="FK1969" s="1"/>
      <c r="FL1969" s="1"/>
      <c r="FM1969" s="1"/>
      <c r="FN1969" s="1"/>
      <c r="FO1969" s="1"/>
      <c r="FP1969" s="1"/>
      <c r="FQ1969" s="1"/>
      <c r="FR1969" s="1"/>
      <c r="FS1969" s="1"/>
      <c r="FT1969" s="1"/>
      <c r="FU1969" s="1"/>
      <c r="FV1969" s="1"/>
      <c r="FW1969" s="1"/>
      <c r="FX1969" s="1"/>
      <c r="FY1969" s="1"/>
      <c r="FZ1969" s="1"/>
      <c r="GA1969" s="1"/>
      <c r="GB1969" s="1"/>
      <c r="GC1969" s="1"/>
      <c r="GD1969" s="1"/>
      <c r="GE1969" s="1"/>
      <c r="GF1969" s="1"/>
      <c r="GG1969" s="1"/>
      <c r="GH1969" s="1"/>
      <c r="GI1969" s="1"/>
      <c r="GJ1969" s="1"/>
      <c r="GK1969" s="1"/>
      <c r="GL1969" s="1"/>
      <c r="GM1969" s="1"/>
      <c r="GN1969" s="1"/>
      <c r="GO1969" s="1"/>
      <c r="GP1969" s="1"/>
      <c r="GQ1969" s="1"/>
      <c r="GR1969" s="1"/>
      <c r="GS1969" s="1"/>
      <c r="GT1969" s="1"/>
      <c r="GU1969" s="1"/>
      <c r="GV1969" s="1"/>
      <c r="GW1969" s="1"/>
      <c r="GX1969" s="1"/>
      <c r="GY1969" s="1"/>
      <c r="GZ1969" s="1"/>
      <c r="HA1969" s="1"/>
      <c r="HB1969" s="1"/>
      <c r="HC1969" s="1"/>
      <c r="HD1969" s="1"/>
      <c r="HE1969" s="1"/>
      <c r="HF1969" s="1"/>
      <c r="HG1969" s="1"/>
      <c r="HH1969" s="1"/>
    </row>
    <row r="1970" spans="1:216" x14ac:dyDescent="0.3">
      <c r="A1970" s="3"/>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
      <c r="DQ1970" s="1"/>
      <c r="DR1970" s="1"/>
      <c r="DS1970" s="1"/>
      <c r="DT1970" s="1"/>
      <c r="DU1970" s="1"/>
      <c r="DV1970" s="1"/>
      <c r="DW1970" s="1"/>
      <c r="DX1970" s="1"/>
      <c r="DY1970" s="1"/>
      <c r="DZ1970" s="1"/>
      <c r="EA1970" s="1"/>
      <c r="EB1970" s="1"/>
      <c r="EC1970" s="1"/>
      <c r="ED1970" s="1"/>
      <c r="EE1970" s="1"/>
      <c r="EF1970" s="1"/>
      <c r="EG1970" s="1"/>
      <c r="EH1970" s="1"/>
      <c r="EI1970" s="1"/>
      <c r="EJ1970" s="1"/>
      <c r="EK1970" s="1"/>
      <c r="EL1970" s="1"/>
      <c r="EM1970" s="1"/>
      <c r="EN1970" s="1"/>
      <c r="EO1970" s="1"/>
      <c r="EP1970" s="1"/>
      <c r="EQ1970" s="1"/>
      <c r="ER1970" s="1"/>
      <c r="ES1970" s="1"/>
      <c r="ET1970" s="1"/>
      <c r="EU1970" s="1"/>
      <c r="EV1970" s="1"/>
      <c r="EW1970" s="1"/>
      <c r="EX1970" s="1"/>
      <c r="EY1970" s="1"/>
      <c r="EZ1970" s="1"/>
      <c r="FA1970" s="1"/>
      <c r="FB1970" s="1"/>
      <c r="FC1970" s="1"/>
      <c r="FD1970" s="1"/>
      <c r="FE1970" s="1"/>
      <c r="FF1970" s="1"/>
      <c r="FG1970" s="1"/>
      <c r="FH1970" s="1"/>
      <c r="FI1970" s="1"/>
      <c r="FJ1970" s="1"/>
      <c r="FK1970" s="1"/>
      <c r="FL1970" s="1"/>
      <c r="FM1970" s="1"/>
      <c r="FN1970" s="1"/>
      <c r="FO1970" s="1"/>
      <c r="FP1970" s="1"/>
      <c r="FQ1970" s="1"/>
      <c r="FR1970" s="1"/>
      <c r="FS1970" s="1"/>
      <c r="FT1970" s="1"/>
      <c r="FU1970" s="1"/>
      <c r="FV1970" s="1"/>
      <c r="FW1970" s="1"/>
      <c r="FX1970" s="1"/>
      <c r="FY1970" s="1"/>
      <c r="FZ1970" s="1"/>
      <c r="GA1970" s="1"/>
      <c r="GB1970" s="1"/>
      <c r="GC1970" s="1"/>
      <c r="GD1970" s="1"/>
      <c r="GE1970" s="1"/>
      <c r="GF1970" s="1"/>
      <c r="GG1970" s="1"/>
      <c r="GH1970" s="1"/>
      <c r="GI1970" s="1"/>
      <c r="GJ1970" s="1"/>
      <c r="GK1970" s="1"/>
      <c r="GL1970" s="1"/>
      <c r="GM1970" s="1"/>
      <c r="GN1970" s="1"/>
      <c r="GO1970" s="1"/>
      <c r="GP1970" s="1"/>
      <c r="GQ1970" s="1"/>
      <c r="GR1970" s="1"/>
      <c r="GS1970" s="1"/>
      <c r="GT1970" s="1"/>
      <c r="GU1970" s="1"/>
      <c r="GV1970" s="1"/>
      <c r="GW1970" s="1"/>
      <c r="GX1970" s="1"/>
      <c r="GY1970" s="1"/>
      <c r="GZ1970" s="1"/>
      <c r="HA1970" s="1"/>
      <c r="HB1970" s="1"/>
      <c r="HC1970" s="1"/>
      <c r="HD1970" s="1"/>
      <c r="HE1970" s="1"/>
      <c r="HF1970" s="1"/>
      <c r="HG1970" s="1"/>
      <c r="HH1970" s="1"/>
    </row>
    <row r="1971" spans="1:216" x14ac:dyDescent="0.3">
      <c r="A1971" s="3"/>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
      <c r="DQ1971" s="1"/>
      <c r="DR1971" s="1"/>
      <c r="DS1971" s="1"/>
      <c r="DT1971" s="1"/>
      <c r="DU1971" s="1"/>
      <c r="DV1971" s="1"/>
      <c r="DW1971" s="1"/>
      <c r="DX1971" s="1"/>
      <c r="DY1971" s="1"/>
      <c r="DZ1971" s="1"/>
      <c r="EA1971" s="1"/>
      <c r="EB1971" s="1"/>
      <c r="EC1971" s="1"/>
      <c r="ED1971" s="1"/>
      <c r="EE1971" s="1"/>
      <c r="EF1971" s="1"/>
      <c r="EG1971" s="1"/>
      <c r="EH1971" s="1"/>
      <c r="EI1971" s="1"/>
      <c r="EJ1971" s="1"/>
      <c r="EK1971" s="1"/>
      <c r="EL1971" s="1"/>
      <c r="EM1971" s="1"/>
      <c r="EN1971" s="1"/>
      <c r="EO1971" s="1"/>
      <c r="EP1971" s="1"/>
      <c r="EQ1971" s="1"/>
      <c r="ER1971" s="1"/>
      <c r="ES1971" s="1"/>
      <c r="ET1971" s="1"/>
      <c r="EU1971" s="1"/>
      <c r="EV1971" s="1"/>
      <c r="EW1971" s="1"/>
      <c r="EX1971" s="1"/>
      <c r="EY1971" s="1"/>
      <c r="EZ1971" s="1"/>
      <c r="FA1971" s="1"/>
      <c r="FB1971" s="1"/>
      <c r="FC1971" s="1"/>
      <c r="FD1971" s="1"/>
      <c r="FE1971" s="1"/>
      <c r="FF1971" s="1"/>
      <c r="FG1971" s="1"/>
      <c r="FH1971" s="1"/>
      <c r="FI1971" s="1"/>
      <c r="FJ1971" s="1"/>
      <c r="FK1971" s="1"/>
      <c r="FL1971" s="1"/>
      <c r="FM1971" s="1"/>
      <c r="FN1971" s="1"/>
      <c r="FO1971" s="1"/>
      <c r="FP1971" s="1"/>
      <c r="FQ1971" s="1"/>
      <c r="FR1971" s="1"/>
      <c r="FS1971" s="1"/>
      <c r="FT1971" s="1"/>
      <c r="FU1971" s="1"/>
      <c r="FV1971" s="1"/>
      <c r="FW1971" s="1"/>
      <c r="FX1971" s="1"/>
      <c r="FY1971" s="1"/>
      <c r="FZ1971" s="1"/>
      <c r="GA1971" s="1"/>
      <c r="GB1971" s="1"/>
      <c r="GC1971" s="1"/>
      <c r="GD1971" s="1"/>
      <c r="GE1971" s="1"/>
      <c r="GF1971" s="1"/>
      <c r="GG1971" s="1"/>
      <c r="GH1971" s="1"/>
      <c r="GI1971" s="1"/>
      <c r="GJ1971" s="1"/>
      <c r="GK1971" s="1"/>
      <c r="GL1971" s="1"/>
      <c r="GM1971" s="1"/>
      <c r="GN1971" s="1"/>
      <c r="GO1971" s="1"/>
      <c r="GP1971" s="1"/>
      <c r="GQ1971" s="1"/>
      <c r="GR1971" s="1"/>
      <c r="GS1971" s="1"/>
      <c r="GT1971" s="1"/>
      <c r="GU1971" s="1"/>
      <c r="GV1971" s="1"/>
      <c r="GW1971" s="1"/>
      <c r="GX1971" s="1"/>
      <c r="GY1971" s="1"/>
      <c r="GZ1971" s="1"/>
      <c r="HA1971" s="1"/>
      <c r="HB1971" s="1"/>
      <c r="HC1971" s="1"/>
      <c r="HD1971" s="1"/>
      <c r="HE1971" s="1"/>
      <c r="HF1971" s="1"/>
      <c r="HG1971" s="1"/>
      <c r="HH1971" s="1"/>
    </row>
    <row r="1972" spans="1:216" x14ac:dyDescent="0.3">
      <c r="A1972" s="3"/>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c r="DU1972" s="1"/>
      <c r="DV1972" s="1"/>
      <c r="DW1972" s="1"/>
      <c r="DX1972" s="1"/>
      <c r="DY1972" s="1"/>
      <c r="DZ1972" s="1"/>
      <c r="EA1972" s="1"/>
      <c r="EB1972" s="1"/>
      <c r="EC1972" s="1"/>
      <c r="ED1972" s="1"/>
      <c r="EE1972" s="1"/>
      <c r="EF1972" s="1"/>
      <c r="EG1972" s="1"/>
      <c r="EH1972" s="1"/>
      <c r="EI1972" s="1"/>
      <c r="EJ1972" s="1"/>
      <c r="EK1972" s="1"/>
      <c r="EL1972" s="1"/>
      <c r="EM1972" s="1"/>
      <c r="EN1972" s="1"/>
      <c r="EO1972" s="1"/>
      <c r="EP1972" s="1"/>
      <c r="EQ1972" s="1"/>
      <c r="ER1972" s="1"/>
      <c r="ES1972" s="1"/>
      <c r="ET1972" s="1"/>
      <c r="EU1972" s="1"/>
      <c r="EV1972" s="1"/>
      <c r="EW1972" s="1"/>
      <c r="EX1972" s="1"/>
      <c r="EY1972" s="1"/>
      <c r="EZ1972" s="1"/>
      <c r="FA1972" s="1"/>
      <c r="FB1972" s="1"/>
      <c r="FC1972" s="1"/>
      <c r="FD1972" s="1"/>
      <c r="FE1972" s="1"/>
      <c r="FF1972" s="1"/>
      <c r="FG1972" s="1"/>
      <c r="FH1972" s="1"/>
      <c r="FI1972" s="1"/>
      <c r="FJ1972" s="1"/>
      <c r="FK1972" s="1"/>
      <c r="FL1972" s="1"/>
      <c r="FM1972" s="1"/>
      <c r="FN1972" s="1"/>
      <c r="FO1972" s="1"/>
      <c r="FP1972" s="1"/>
      <c r="FQ1972" s="1"/>
      <c r="FR1972" s="1"/>
      <c r="FS1972" s="1"/>
      <c r="FT1972" s="1"/>
      <c r="FU1972" s="1"/>
      <c r="FV1972" s="1"/>
      <c r="FW1972" s="1"/>
      <c r="FX1972" s="1"/>
      <c r="FY1972" s="1"/>
      <c r="FZ1972" s="1"/>
      <c r="GA1972" s="1"/>
      <c r="GB1972" s="1"/>
      <c r="GC1972" s="1"/>
      <c r="GD1972" s="1"/>
      <c r="GE1972" s="1"/>
      <c r="GF1972" s="1"/>
      <c r="GG1972" s="1"/>
      <c r="GH1972" s="1"/>
      <c r="GI1972" s="1"/>
      <c r="GJ1972" s="1"/>
      <c r="GK1972" s="1"/>
      <c r="GL1972" s="1"/>
      <c r="GM1972" s="1"/>
      <c r="GN1972" s="1"/>
      <c r="GO1972" s="1"/>
      <c r="GP1972" s="1"/>
      <c r="GQ1972" s="1"/>
      <c r="GR1972" s="1"/>
      <c r="GS1972" s="1"/>
      <c r="GT1972" s="1"/>
      <c r="GU1972" s="1"/>
      <c r="GV1972" s="1"/>
      <c r="GW1972" s="1"/>
      <c r="GX1972" s="1"/>
      <c r="GY1972" s="1"/>
      <c r="GZ1972" s="1"/>
      <c r="HA1972" s="1"/>
      <c r="HB1972" s="1"/>
      <c r="HC1972" s="1"/>
      <c r="HD1972" s="1"/>
      <c r="HE1972" s="1"/>
      <c r="HF1972" s="1"/>
      <c r="HG1972" s="1"/>
      <c r="HH1972" s="1"/>
    </row>
    <row r="1973" spans="1:216" x14ac:dyDescent="0.3">
      <c r="A1973" s="3"/>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
      <c r="DQ1973" s="1"/>
      <c r="DR1973" s="1"/>
      <c r="DS1973" s="1"/>
      <c r="DT1973" s="1"/>
      <c r="DU1973" s="1"/>
      <c r="DV1973" s="1"/>
      <c r="DW1973" s="1"/>
      <c r="DX1973" s="1"/>
      <c r="DY1973" s="1"/>
      <c r="DZ1973" s="1"/>
      <c r="EA1973" s="1"/>
      <c r="EB1973" s="1"/>
      <c r="EC1973" s="1"/>
      <c r="ED1973" s="1"/>
      <c r="EE1973" s="1"/>
      <c r="EF1973" s="1"/>
      <c r="EG1973" s="1"/>
      <c r="EH1973" s="1"/>
      <c r="EI1973" s="1"/>
      <c r="EJ1973" s="1"/>
      <c r="EK1973" s="1"/>
      <c r="EL1973" s="1"/>
      <c r="EM1973" s="1"/>
      <c r="EN1973" s="1"/>
      <c r="EO1973" s="1"/>
      <c r="EP1973" s="1"/>
      <c r="EQ1973" s="1"/>
      <c r="ER1973" s="1"/>
      <c r="ES1973" s="1"/>
      <c r="ET1973" s="1"/>
      <c r="EU1973" s="1"/>
      <c r="EV1973" s="1"/>
      <c r="EW1973" s="1"/>
      <c r="EX1973" s="1"/>
      <c r="EY1973" s="1"/>
      <c r="EZ1973" s="1"/>
      <c r="FA1973" s="1"/>
      <c r="FB1973" s="1"/>
      <c r="FC1973" s="1"/>
      <c r="FD1973" s="1"/>
      <c r="FE1973" s="1"/>
      <c r="FF1973" s="1"/>
      <c r="FG1973" s="1"/>
      <c r="FH1973" s="1"/>
      <c r="FI1973" s="1"/>
      <c r="FJ1973" s="1"/>
      <c r="FK1973" s="1"/>
      <c r="FL1973" s="1"/>
      <c r="FM1973" s="1"/>
      <c r="FN1973" s="1"/>
      <c r="FO1973" s="1"/>
      <c r="FP1973" s="1"/>
      <c r="FQ1973" s="1"/>
      <c r="FR1973" s="1"/>
      <c r="FS1973" s="1"/>
      <c r="FT1973" s="1"/>
      <c r="FU1973" s="1"/>
      <c r="FV1973" s="1"/>
      <c r="FW1973" s="1"/>
      <c r="FX1973" s="1"/>
      <c r="FY1973" s="1"/>
      <c r="FZ1973" s="1"/>
      <c r="GA1973" s="1"/>
      <c r="GB1973" s="1"/>
      <c r="GC1973" s="1"/>
      <c r="GD1973" s="1"/>
      <c r="GE1973" s="1"/>
      <c r="GF1973" s="1"/>
      <c r="GG1973" s="1"/>
      <c r="GH1973" s="1"/>
      <c r="GI1973" s="1"/>
      <c r="GJ1973" s="1"/>
      <c r="GK1973" s="1"/>
      <c r="GL1973" s="1"/>
      <c r="GM1973" s="1"/>
      <c r="GN1973" s="1"/>
      <c r="GO1973" s="1"/>
      <c r="GP1973" s="1"/>
      <c r="GQ1973" s="1"/>
      <c r="GR1973" s="1"/>
      <c r="GS1973" s="1"/>
      <c r="GT1973" s="1"/>
      <c r="GU1973" s="1"/>
      <c r="GV1973" s="1"/>
      <c r="GW1973" s="1"/>
      <c r="GX1973" s="1"/>
      <c r="GY1973" s="1"/>
      <c r="GZ1973" s="1"/>
      <c r="HA1973" s="1"/>
      <c r="HB1973" s="1"/>
      <c r="HC1973" s="1"/>
      <c r="HD1973" s="1"/>
      <c r="HE1973" s="1"/>
      <c r="HF1973" s="1"/>
      <c r="HG1973" s="1"/>
      <c r="HH1973" s="1"/>
    </row>
    <row r="1974" spans="1:216" x14ac:dyDescent="0.3">
      <c r="A1974" s="3"/>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c r="DM1974" s="1"/>
      <c r="DN1974" s="1"/>
      <c r="DO1974" s="1"/>
      <c r="DP1974" s="1"/>
      <c r="DQ1974" s="1"/>
      <c r="DR1974" s="1"/>
      <c r="DS1974" s="1"/>
      <c r="DT1974" s="1"/>
      <c r="DU1974" s="1"/>
      <c r="DV1974" s="1"/>
      <c r="DW1974" s="1"/>
      <c r="DX1974" s="1"/>
      <c r="DY1974" s="1"/>
      <c r="DZ1974" s="1"/>
      <c r="EA1974" s="1"/>
      <c r="EB1974" s="1"/>
      <c r="EC1974" s="1"/>
      <c r="ED1974" s="1"/>
      <c r="EE1974" s="1"/>
      <c r="EF1974" s="1"/>
      <c r="EG1974" s="1"/>
      <c r="EH1974" s="1"/>
      <c r="EI1974" s="1"/>
      <c r="EJ1974" s="1"/>
      <c r="EK1974" s="1"/>
      <c r="EL1974" s="1"/>
      <c r="EM1974" s="1"/>
      <c r="EN1974" s="1"/>
      <c r="EO1974" s="1"/>
      <c r="EP1974" s="1"/>
      <c r="EQ1974" s="1"/>
      <c r="ER1974" s="1"/>
      <c r="ES1974" s="1"/>
      <c r="ET1974" s="1"/>
      <c r="EU1974" s="1"/>
      <c r="EV1974" s="1"/>
      <c r="EW1974" s="1"/>
      <c r="EX1974" s="1"/>
      <c r="EY1974" s="1"/>
      <c r="EZ1974" s="1"/>
      <c r="FA1974" s="1"/>
      <c r="FB1974" s="1"/>
      <c r="FC1974" s="1"/>
      <c r="FD1974" s="1"/>
      <c r="FE1974" s="1"/>
      <c r="FF1974" s="1"/>
      <c r="FG1974" s="1"/>
      <c r="FH1974" s="1"/>
      <c r="FI1974" s="1"/>
      <c r="FJ1974" s="1"/>
      <c r="FK1974" s="1"/>
      <c r="FL1974" s="1"/>
      <c r="FM1974" s="1"/>
      <c r="FN1974" s="1"/>
      <c r="FO1974" s="1"/>
      <c r="FP1974" s="1"/>
      <c r="FQ1974" s="1"/>
      <c r="FR1974" s="1"/>
      <c r="FS1974" s="1"/>
      <c r="FT1974" s="1"/>
      <c r="FU1974" s="1"/>
      <c r="FV1974" s="1"/>
      <c r="FW1974" s="1"/>
      <c r="FX1974" s="1"/>
      <c r="FY1974" s="1"/>
      <c r="FZ1974" s="1"/>
      <c r="GA1974" s="1"/>
      <c r="GB1974" s="1"/>
      <c r="GC1974" s="1"/>
      <c r="GD1974" s="1"/>
      <c r="GE1974" s="1"/>
      <c r="GF1974" s="1"/>
      <c r="GG1974" s="1"/>
      <c r="GH1974" s="1"/>
      <c r="GI1974" s="1"/>
      <c r="GJ1974" s="1"/>
      <c r="GK1974" s="1"/>
      <c r="GL1974" s="1"/>
      <c r="GM1974" s="1"/>
      <c r="GN1974" s="1"/>
      <c r="GO1974" s="1"/>
      <c r="GP1974" s="1"/>
      <c r="GQ1974" s="1"/>
      <c r="GR1974" s="1"/>
      <c r="GS1974" s="1"/>
      <c r="GT1974" s="1"/>
      <c r="GU1974" s="1"/>
      <c r="GV1974" s="1"/>
      <c r="GW1974" s="1"/>
      <c r="GX1974" s="1"/>
      <c r="GY1974" s="1"/>
      <c r="GZ1974" s="1"/>
      <c r="HA1974" s="1"/>
      <c r="HB1974" s="1"/>
      <c r="HC1974" s="1"/>
      <c r="HD1974" s="1"/>
      <c r="HE1974" s="1"/>
      <c r="HF1974" s="1"/>
      <c r="HG1974" s="1"/>
      <c r="HH1974" s="1"/>
    </row>
    <row r="1975" spans="1:216" x14ac:dyDescent="0.3">
      <c r="A1975" s="3"/>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c r="DM1975" s="1"/>
      <c r="DN1975" s="1"/>
      <c r="DO1975" s="1"/>
      <c r="DP1975" s="1"/>
      <c r="DQ1975" s="1"/>
      <c r="DR1975" s="1"/>
      <c r="DS1975" s="1"/>
      <c r="DT1975" s="1"/>
      <c r="DU1975" s="1"/>
      <c r="DV1975" s="1"/>
      <c r="DW1975" s="1"/>
      <c r="DX1975" s="1"/>
      <c r="DY1975" s="1"/>
      <c r="DZ1975" s="1"/>
      <c r="EA1975" s="1"/>
      <c r="EB1975" s="1"/>
      <c r="EC1975" s="1"/>
      <c r="ED1975" s="1"/>
      <c r="EE1975" s="1"/>
      <c r="EF1975" s="1"/>
      <c r="EG1975" s="1"/>
      <c r="EH1975" s="1"/>
      <c r="EI1975" s="1"/>
      <c r="EJ1975" s="1"/>
      <c r="EK1975" s="1"/>
      <c r="EL1975" s="1"/>
      <c r="EM1975" s="1"/>
      <c r="EN1975" s="1"/>
      <c r="EO1975" s="1"/>
      <c r="EP1975" s="1"/>
      <c r="EQ1975" s="1"/>
      <c r="ER1975" s="1"/>
      <c r="ES1975" s="1"/>
      <c r="ET1975" s="1"/>
      <c r="EU1975" s="1"/>
      <c r="EV1975" s="1"/>
      <c r="EW1975" s="1"/>
      <c r="EX1975" s="1"/>
      <c r="EY1975" s="1"/>
      <c r="EZ1975" s="1"/>
      <c r="FA1975" s="1"/>
      <c r="FB1975" s="1"/>
      <c r="FC1975" s="1"/>
      <c r="FD1975" s="1"/>
      <c r="FE1975" s="1"/>
      <c r="FF1975" s="1"/>
      <c r="FG1975" s="1"/>
      <c r="FH1975" s="1"/>
      <c r="FI1975" s="1"/>
      <c r="FJ1975" s="1"/>
      <c r="FK1975" s="1"/>
      <c r="FL1975" s="1"/>
      <c r="FM1975" s="1"/>
      <c r="FN1975" s="1"/>
      <c r="FO1975" s="1"/>
      <c r="FP1975" s="1"/>
      <c r="FQ1975" s="1"/>
      <c r="FR1975" s="1"/>
      <c r="FS1975" s="1"/>
      <c r="FT1975" s="1"/>
      <c r="FU1975" s="1"/>
      <c r="FV1975" s="1"/>
      <c r="FW1975" s="1"/>
      <c r="FX1975" s="1"/>
      <c r="FY1975" s="1"/>
      <c r="FZ1975" s="1"/>
      <c r="GA1975" s="1"/>
      <c r="GB1975" s="1"/>
      <c r="GC1975" s="1"/>
      <c r="GD1975" s="1"/>
      <c r="GE1975" s="1"/>
      <c r="GF1975" s="1"/>
      <c r="GG1975" s="1"/>
      <c r="GH1975" s="1"/>
      <c r="GI1975" s="1"/>
      <c r="GJ1975" s="1"/>
      <c r="GK1975" s="1"/>
      <c r="GL1975" s="1"/>
      <c r="GM1975" s="1"/>
      <c r="GN1975" s="1"/>
      <c r="GO1975" s="1"/>
      <c r="GP1975" s="1"/>
      <c r="GQ1975" s="1"/>
      <c r="GR1975" s="1"/>
      <c r="GS1975" s="1"/>
      <c r="GT1975" s="1"/>
      <c r="GU1975" s="1"/>
      <c r="GV1975" s="1"/>
      <c r="GW1975" s="1"/>
      <c r="GX1975" s="1"/>
      <c r="GY1975" s="1"/>
      <c r="GZ1975" s="1"/>
      <c r="HA1975" s="1"/>
      <c r="HB1975" s="1"/>
      <c r="HC1975" s="1"/>
      <c r="HD1975" s="1"/>
      <c r="HE1975" s="1"/>
      <c r="HF1975" s="1"/>
      <c r="HG1975" s="1"/>
      <c r="HH1975" s="1"/>
    </row>
    <row r="1976" spans="1:216" x14ac:dyDescent="0.3">
      <c r="A1976" s="3"/>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
      <c r="DQ1976" s="1"/>
      <c r="DR1976" s="1"/>
      <c r="DS1976" s="1"/>
      <c r="DT1976" s="1"/>
      <c r="DU1976" s="1"/>
      <c r="DV1976" s="1"/>
      <c r="DW1976" s="1"/>
      <c r="DX1976" s="1"/>
      <c r="DY1976" s="1"/>
      <c r="DZ1976" s="1"/>
      <c r="EA1976" s="1"/>
      <c r="EB1976" s="1"/>
      <c r="EC1976" s="1"/>
      <c r="ED1976" s="1"/>
      <c r="EE1976" s="1"/>
      <c r="EF1976" s="1"/>
      <c r="EG1976" s="1"/>
      <c r="EH1976" s="1"/>
      <c r="EI1976" s="1"/>
      <c r="EJ1976" s="1"/>
      <c r="EK1976" s="1"/>
      <c r="EL1976" s="1"/>
      <c r="EM1976" s="1"/>
      <c r="EN1976" s="1"/>
      <c r="EO1976" s="1"/>
      <c r="EP1976" s="1"/>
      <c r="EQ1976" s="1"/>
      <c r="ER1976" s="1"/>
      <c r="ES1976" s="1"/>
      <c r="ET1976" s="1"/>
      <c r="EU1976" s="1"/>
      <c r="EV1976" s="1"/>
      <c r="EW1976" s="1"/>
      <c r="EX1976" s="1"/>
      <c r="EY1976" s="1"/>
      <c r="EZ1976" s="1"/>
      <c r="FA1976" s="1"/>
      <c r="FB1976" s="1"/>
      <c r="FC1976" s="1"/>
      <c r="FD1976" s="1"/>
      <c r="FE1976" s="1"/>
      <c r="FF1976" s="1"/>
      <c r="FG1976" s="1"/>
      <c r="FH1976" s="1"/>
      <c r="FI1976" s="1"/>
      <c r="FJ1976" s="1"/>
      <c r="FK1976" s="1"/>
      <c r="FL1976" s="1"/>
      <c r="FM1976" s="1"/>
      <c r="FN1976" s="1"/>
      <c r="FO1976" s="1"/>
      <c r="FP1976" s="1"/>
      <c r="FQ1976" s="1"/>
      <c r="FR1976" s="1"/>
      <c r="FS1976" s="1"/>
      <c r="FT1976" s="1"/>
      <c r="FU1976" s="1"/>
      <c r="FV1976" s="1"/>
      <c r="FW1976" s="1"/>
      <c r="FX1976" s="1"/>
      <c r="FY1976" s="1"/>
      <c r="FZ1976" s="1"/>
      <c r="GA1976" s="1"/>
      <c r="GB1976" s="1"/>
      <c r="GC1976" s="1"/>
      <c r="GD1976" s="1"/>
      <c r="GE1976" s="1"/>
      <c r="GF1976" s="1"/>
      <c r="GG1976" s="1"/>
      <c r="GH1976" s="1"/>
      <c r="GI1976" s="1"/>
      <c r="GJ1976" s="1"/>
      <c r="GK1976" s="1"/>
      <c r="GL1976" s="1"/>
      <c r="GM1976" s="1"/>
      <c r="GN1976" s="1"/>
      <c r="GO1976" s="1"/>
      <c r="GP1976" s="1"/>
      <c r="GQ1976" s="1"/>
      <c r="GR1976" s="1"/>
      <c r="GS1976" s="1"/>
      <c r="GT1976" s="1"/>
      <c r="GU1976" s="1"/>
      <c r="GV1976" s="1"/>
      <c r="GW1976" s="1"/>
      <c r="GX1976" s="1"/>
      <c r="GY1976" s="1"/>
      <c r="GZ1976" s="1"/>
      <c r="HA1976" s="1"/>
      <c r="HB1976" s="1"/>
      <c r="HC1976" s="1"/>
      <c r="HD1976" s="1"/>
      <c r="HE1976" s="1"/>
      <c r="HF1976" s="1"/>
      <c r="HG1976" s="1"/>
      <c r="HH1976" s="1"/>
    </row>
    <row r="1977" spans="1:216" x14ac:dyDescent="0.3">
      <c r="A1977" s="3"/>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c r="DM1977" s="1"/>
      <c r="DN1977" s="1"/>
      <c r="DO1977" s="1"/>
      <c r="DP1977" s="1"/>
      <c r="DQ1977" s="1"/>
      <c r="DR1977" s="1"/>
      <c r="DS1977" s="1"/>
      <c r="DT1977" s="1"/>
      <c r="DU1977" s="1"/>
      <c r="DV1977" s="1"/>
      <c r="DW1977" s="1"/>
      <c r="DX1977" s="1"/>
      <c r="DY1977" s="1"/>
      <c r="DZ1977" s="1"/>
      <c r="EA1977" s="1"/>
      <c r="EB1977" s="1"/>
      <c r="EC1977" s="1"/>
      <c r="ED1977" s="1"/>
      <c r="EE1977" s="1"/>
      <c r="EF1977" s="1"/>
      <c r="EG1977" s="1"/>
      <c r="EH1977" s="1"/>
      <c r="EI1977" s="1"/>
      <c r="EJ1977" s="1"/>
      <c r="EK1977" s="1"/>
      <c r="EL1977" s="1"/>
      <c r="EM1977" s="1"/>
      <c r="EN1977" s="1"/>
      <c r="EO1977" s="1"/>
      <c r="EP1977" s="1"/>
      <c r="EQ1977" s="1"/>
      <c r="ER1977" s="1"/>
      <c r="ES1977" s="1"/>
      <c r="ET1977" s="1"/>
      <c r="EU1977" s="1"/>
      <c r="EV1977" s="1"/>
      <c r="EW1977" s="1"/>
      <c r="EX1977" s="1"/>
      <c r="EY1977" s="1"/>
      <c r="EZ1977" s="1"/>
      <c r="FA1977" s="1"/>
      <c r="FB1977" s="1"/>
      <c r="FC1977" s="1"/>
      <c r="FD1977" s="1"/>
      <c r="FE1977" s="1"/>
      <c r="FF1977" s="1"/>
      <c r="FG1977" s="1"/>
      <c r="FH1977" s="1"/>
      <c r="FI1977" s="1"/>
      <c r="FJ1977" s="1"/>
      <c r="FK1977" s="1"/>
      <c r="FL1977" s="1"/>
      <c r="FM1977" s="1"/>
      <c r="FN1977" s="1"/>
      <c r="FO1977" s="1"/>
      <c r="FP1977" s="1"/>
      <c r="FQ1977" s="1"/>
      <c r="FR1977" s="1"/>
      <c r="FS1977" s="1"/>
      <c r="FT1977" s="1"/>
      <c r="FU1977" s="1"/>
      <c r="FV1977" s="1"/>
      <c r="FW1977" s="1"/>
      <c r="FX1977" s="1"/>
      <c r="FY1977" s="1"/>
      <c r="FZ1977" s="1"/>
      <c r="GA1977" s="1"/>
      <c r="GB1977" s="1"/>
      <c r="GC1977" s="1"/>
      <c r="GD1977" s="1"/>
      <c r="GE1977" s="1"/>
      <c r="GF1977" s="1"/>
      <c r="GG1977" s="1"/>
      <c r="GH1977" s="1"/>
      <c r="GI1977" s="1"/>
      <c r="GJ1977" s="1"/>
      <c r="GK1977" s="1"/>
      <c r="GL1977" s="1"/>
      <c r="GM1977" s="1"/>
      <c r="GN1977" s="1"/>
      <c r="GO1977" s="1"/>
      <c r="GP1977" s="1"/>
      <c r="GQ1977" s="1"/>
      <c r="GR1977" s="1"/>
      <c r="GS1977" s="1"/>
      <c r="GT1977" s="1"/>
      <c r="GU1977" s="1"/>
      <c r="GV1977" s="1"/>
      <c r="GW1977" s="1"/>
      <c r="GX1977" s="1"/>
      <c r="GY1977" s="1"/>
      <c r="GZ1977" s="1"/>
      <c r="HA1977" s="1"/>
      <c r="HB1977" s="1"/>
      <c r="HC1977" s="1"/>
      <c r="HD1977" s="1"/>
      <c r="HE1977" s="1"/>
      <c r="HF1977" s="1"/>
      <c r="HG1977" s="1"/>
      <c r="HH1977" s="1"/>
    </row>
    <row r="1978" spans="1:216" x14ac:dyDescent="0.3">
      <c r="A1978" s="3"/>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
      <c r="DQ1978" s="1"/>
      <c r="DR1978" s="1"/>
      <c r="DS1978" s="1"/>
      <c r="DT1978" s="1"/>
      <c r="DU1978" s="1"/>
      <c r="DV1978" s="1"/>
      <c r="DW1978" s="1"/>
      <c r="DX1978" s="1"/>
      <c r="DY1978" s="1"/>
      <c r="DZ1978" s="1"/>
      <c r="EA1978" s="1"/>
      <c r="EB1978" s="1"/>
      <c r="EC1978" s="1"/>
      <c r="ED1978" s="1"/>
      <c r="EE1978" s="1"/>
      <c r="EF1978" s="1"/>
      <c r="EG1978" s="1"/>
      <c r="EH1978" s="1"/>
      <c r="EI1978" s="1"/>
      <c r="EJ1978" s="1"/>
      <c r="EK1978" s="1"/>
      <c r="EL1978" s="1"/>
      <c r="EM1978" s="1"/>
      <c r="EN1978" s="1"/>
      <c r="EO1978" s="1"/>
      <c r="EP1978" s="1"/>
      <c r="EQ1978" s="1"/>
      <c r="ER1978" s="1"/>
      <c r="ES1978" s="1"/>
      <c r="ET1978" s="1"/>
      <c r="EU1978" s="1"/>
      <c r="EV1978" s="1"/>
      <c r="EW1978" s="1"/>
      <c r="EX1978" s="1"/>
      <c r="EY1978" s="1"/>
      <c r="EZ1978" s="1"/>
      <c r="FA1978" s="1"/>
      <c r="FB1978" s="1"/>
      <c r="FC1978" s="1"/>
      <c r="FD1978" s="1"/>
      <c r="FE1978" s="1"/>
      <c r="FF1978" s="1"/>
      <c r="FG1978" s="1"/>
      <c r="FH1978" s="1"/>
      <c r="FI1978" s="1"/>
      <c r="FJ1978" s="1"/>
      <c r="FK1978" s="1"/>
      <c r="FL1978" s="1"/>
      <c r="FM1978" s="1"/>
      <c r="FN1978" s="1"/>
      <c r="FO1978" s="1"/>
      <c r="FP1978" s="1"/>
      <c r="FQ1978" s="1"/>
      <c r="FR1978" s="1"/>
      <c r="FS1978" s="1"/>
      <c r="FT1978" s="1"/>
      <c r="FU1978" s="1"/>
      <c r="FV1978" s="1"/>
      <c r="FW1978" s="1"/>
      <c r="FX1978" s="1"/>
      <c r="FY1978" s="1"/>
      <c r="FZ1978" s="1"/>
      <c r="GA1978" s="1"/>
      <c r="GB1978" s="1"/>
      <c r="GC1978" s="1"/>
      <c r="GD1978" s="1"/>
      <c r="GE1978" s="1"/>
      <c r="GF1978" s="1"/>
      <c r="GG1978" s="1"/>
      <c r="GH1978" s="1"/>
      <c r="GI1978" s="1"/>
      <c r="GJ1978" s="1"/>
      <c r="GK1978" s="1"/>
      <c r="GL1978" s="1"/>
      <c r="GM1978" s="1"/>
      <c r="GN1978" s="1"/>
      <c r="GO1978" s="1"/>
      <c r="GP1978" s="1"/>
      <c r="GQ1978" s="1"/>
      <c r="GR1978" s="1"/>
      <c r="GS1978" s="1"/>
      <c r="GT1978" s="1"/>
      <c r="GU1978" s="1"/>
      <c r="GV1978" s="1"/>
      <c r="GW1978" s="1"/>
      <c r="GX1978" s="1"/>
      <c r="GY1978" s="1"/>
      <c r="GZ1978" s="1"/>
      <c r="HA1978" s="1"/>
      <c r="HB1978" s="1"/>
      <c r="HC1978" s="1"/>
      <c r="HD1978" s="1"/>
      <c r="HE1978" s="1"/>
      <c r="HF1978" s="1"/>
      <c r="HG1978" s="1"/>
      <c r="HH1978" s="1"/>
    </row>
    <row r="1979" spans="1:216" x14ac:dyDescent="0.3">
      <c r="A1979" s="3"/>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c r="FM1979" s="1"/>
      <c r="FN1979" s="1"/>
      <c r="FO1979" s="1"/>
      <c r="FP1979" s="1"/>
      <c r="FQ1979" s="1"/>
      <c r="FR1979" s="1"/>
      <c r="FS1979" s="1"/>
      <c r="FT1979" s="1"/>
      <c r="FU1979" s="1"/>
      <c r="FV1979" s="1"/>
      <c r="FW1979" s="1"/>
      <c r="FX1979" s="1"/>
      <c r="FY1979" s="1"/>
      <c r="FZ1979" s="1"/>
      <c r="GA1979" s="1"/>
      <c r="GB1979" s="1"/>
      <c r="GC1979" s="1"/>
      <c r="GD1979" s="1"/>
      <c r="GE1979" s="1"/>
      <c r="GF1979" s="1"/>
      <c r="GG1979" s="1"/>
      <c r="GH1979" s="1"/>
      <c r="GI1979" s="1"/>
      <c r="GJ1979" s="1"/>
      <c r="GK1979" s="1"/>
      <c r="GL1979" s="1"/>
      <c r="GM1979" s="1"/>
      <c r="GN1979" s="1"/>
      <c r="GO1979" s="1"/>
      <c r="GP1979" s="1"/>
      <c r="GQ1979" s="1"/>
      <c r="GR1979" s="1"/>
      <c r="GS1979" s="1"/>
      <c r="GT1979" s="1"/>
      <c r="GU1979" s="1"/>
      <c r="GV1979" s="1"/>
      <c r="GW1979" s="1"/>
      <c r="GX1979" s="1"/>
      <c r="GY1979" s="1"/>
      <c r="GZ1979" s="1"/>
      <c r="HA1979" s="1"/>
      <c r="HB1979" s="1"/>
      <c r="HC1979" s="1"/>
      <c r="HD1979" s="1"/>
      <c r="HE1979" s="1"/>
      <c r="HF1979" s="1"/>
      <c r="HG1979" s="1"/>
      <c r="HH1979" s="1"/>
    </row>
    <row r="1980" spans="1:216" x14ac:dyDescent="0.3">
      <c r="A1980" s="3"/>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
      <c r="DQ1980" s="1"/>
      <c r="DR1980" s="1"/>
      <c r="DS1980" s="1"/>
      <c r="DT1980" s="1"/>
      <c r="DU1980" s="1"/>
      <c r="DV1980" s="1"/>
      <c r="DW1980" s="1"/>
      <c r="DX1980" s="1"/>
      <c r="DY1980" s="1"/>
      <c r="DZ1980" s="1"/>
      <c r="EA1980" s="1"/>
      <c r="EB1980" s="1"/>
      <c r="EC1980" s="1"/>
      <c r="ED1980" s="1"/>
      <c r="EE1980" s="1"/>
      <c r="EF1980" s="1"/>
      <c r="EG1980" s="1"/>
      <c r="EH1980" s="1"/>
      <c r="EI1980" s="1"/>
      <c r="EJ1980" s="1"/>
      <c r="EK1980" s="1"/>
      <c r="EL1980" s="1"/>
      <c r="EM1980" s="1"/>
      <c r="EN1980" s="1"/>
      <c r="EO1980" s="1"/>
      <c r="EP1980" s="1"/>
      <c r="EQ1980" s="1"/>
      <c r="ER1980" s="1"/>
      <c r="ES1980" s="1"/>
      <c r="ET1980" s="1"/>
      <c r="EU1980" s="1"/>
      <c r="EV1980" s="1"/>
      <c r="EW1980" s="1"/>
      <c r="EX1980" s="1"/>
      <c r="EY1980" s="1"/>
      <c r="EZ1980" s="1"/>
      <c r="FA1980" s="1"/>
      <c r="FB1980" s="1"/>
      <c r="FC1980" s="1"/>
      <c r="FD1980" s="1"/>
      <c r="FE1980" s="1"/>
      <c r="FF1980" s="1"/>
      <c r="FG1980" s="1"/>
      <c r="FH1980" s="1"/>
      <c r="FI1980" s="1"/>
      <c r="FJ1980" s="1"/>
      <c r="FK1980" s="1"/>
      <c r="FL1980" s="1"/>
      <c r="FM1980" s="1"/>
      <c r="FN1980" s="1"/>
      <c r="FO1980" s="1"/>
      <c r="FP1980" s="1"/>
      <c r="FQ1980" s="1"/>
      <c r="FR1980" s="1"/>
      <c r="FS1980" s="1"/>
      <c r="FT1980" s="1"/>
      <c r="FU1980" s="1"/>
      <c r="FV1980" s="1"/>
      <c r="FW1980" s="1"/>
      <c r="FX1980" s="1"/>
      <c r="FY1980" s="1"/>
      <c r="FZ1980" s="1"/>
      <c r="GA1980" s="1"/>
      <c r="GB1980" s="1"/>
      <c r="GC1980" s="1"/>
      <c r="GD1980" s="1"/>
      <c r="GE1980" s="1"/>
      <c r="GF1980" s="1"/>
      <c r="GG1980" s="1"/>
      <c r="GH1980" s="1"/>
      <c r="GI1980" s="1"/>
      <c r="GJ1980" s="1"/>
      <c r="GK1980" s="1"/>
      <c r="GL1980" s="1"/>
      <c r="GM1980" s="1"/>
      <c r="GN1980" s="1"/>
      <c r="GO1980" s="1"/>
      <c r="GP1980" s="1"/>
      <c r="GQ1980" s="1"/>
      <c r="GR1980" s="1"/>
      <c r="GS1980" s="1"/>
      <c r="GT1980" s="1"/>
      <c r="GU1980" s="1"/>
      <c r="GV1980" s="1"/>
      <c r="GW1980" s="1"/>
      <c r="GX1980" s="1"/>
      <c r="GY1980" s="1"/>
      <c r="GZ1980" s="1"/>
      <c r="HA1980" s="1"/>
      <c r="HB1980" s="1"/>
      <c r="HC1980" s="1"/>
      <c r="HD1980" s="1"/>
      <c r="HE1980" s="1"/>
      <c r="HF1980" s="1"/>
      <c r="HG1980" s="1"/>
      <c r="HH1980" s="1"/>
    </row>
    <row r="1981" spans="1:216" x14ac:dyDescent="0.3">
      <c r="A1981" s="3"/>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
      <c r="DQ1981" s="1"/>
      <c r="DR1981" s="1"/>
      <c r="DS1981" s="1"/>
      <c r="DT1981" s="1"/>
      <c r="DU1981" s="1"/>
      <c r="DV1981" s="1"/>
      <c r="DW1981" s="1"/>
      <c r="DX1981" s="1"/>
      <c r="DY1981" s="1"/>
      <c r="DZ1981" s="1"/>
      <c r="EA1981" s="1"/>
      <c r="EB1981" s="1"/>
      <c r="EC1981" s="1"/>
      <c r="ED1981" s="1"/>
      <c r="EE1981" s="1"/>
      <c r="EF1981" s="1"/>
      <c r="EG1981" s="1"/>
      <c r="EH1981" s="1"/>
      <c r="EI1981" s="1"/>
      <c r="EJ1981" s="1"/>
      <c r="EK1981" s="1"/>
      <c r="EL1981" s="1"/>
      <c r="EM1981" s="1"/>
      <c r="EN1981" s="1"/>
      <c r="EO1981" s="1"/>
      <c r="EP1981" s="1"/>
      <c r="EQ1981" s="1"/>
      <c r="ER1981" s="1"/>
      <c r="ES1981" s="1"/>
      <c r="ET1981" s="1"/>
      <c r="EU1981" s="1"/>
      <c r="EV1981" s="1"/>
      <c r="EW1981" s="1"/>
      <c r="EX1981" s="1"/>
      <c r="EY1981" s="1"/>
      <c r="EZ1981" s="1"/>
      <c r="FA1981" s="1"/>
      <c r="FB1981" s="1"/>
      <c r="FC1981" s="1"/>
      <c r="FD1981" s="1"/>
      <c r="FE1981" s="1"/>
      <c r="FF1981" s="1"/>
      <c r="FG1981" s="1"/>
      <c r="FH1981" s="1"/>
      <c r="FI1981" s="1"/>
      <c r="FJ1981" s="1"/>
      <c r="FK1981" s="1"/>
      <c r="FL1981" s="1"/>
      <c r="FM1981" s="1"/>
      <c r="FN1981" s="1"/>
      <c r="FO1981" s="1"/>
      <c r="FP1981" s="1"/>
      <c r="FQ1981" s="1"/>
      <c r="FR1981" s="1"/>
      <c r="FS1981" s="1"/>
      <c r="FT1981" s="1"/>
      <c r="FU1981" s="1"/>
      <c r="FV1981" s="1"/>
      <c r="FW1981" s="1"/>
      <c r="FX1981" s="1"/>
      <c r="FY1981" s="1"/>
      <c r="FZ1981" s="1"/>
      <c r="GA1981" s="1"/>
      <c r="GB1981" s="1"/>
      <c r="GC1981" s="1"/>
      <c r="GD1981" s="1"/>
      <c r="GE1981" s="1"/>
      <c r="GF1981" s="1"/>
      <c r="GG1981" s="1"/>
      <c r="GH1981" s="1"/>
      <c r="GI1981" s="1"/>
      <c r="GJ1981" s="1"/>
      <c r="GK1981" s="1"/>
      <c r="GL1981" s="1"/>
      <c r="GM1981" s="1"/>
      <c r="GN1981" s="1"/>
      <c r="GO1981" s="1"/>
      <c r="GP1981" s="1"/>
      <c r="GQ1981" s="1"/>
      <c r="GR1981" s="1"/>
      <c r="GS1981" s="1"/>
      <c r="GT1981" s="1"/>
      <c r="GU1981" s="1"/>
      <c r="GV1981" s="1"/>
      <c r="GW1981" s="1"/>
      <c r="GX1981" s="1"/>
      <c r="GY1981" s="1"/>
      <c r="GZ1981" s="1"/>
      <c r="HA1981" s="1"/>
      <c r="HB1981" s="1"/>
      <c r="HC1981" s="1"/>
      <c r="HD1981" s="1"/>
      <c r="HE1981" s="1"/>
      <c r="HF1981" s="1"/>
      <c r="HG1981" s="1"/>
      <c r="HH1981" s="1"/>
    </row>
    <row r="1982" spans="1:216" x14ac:dyDescent="0.3">
      <c r="A1982" s="3"/>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c r="DK1982" s="1"/>
      <c r="DL1982" s="1"/>
      <c r="DM1982" s="1"/>
      <c r="DN1982" s="1"/>
      <c r="DO1982" s="1"/>
      <c r="DP1982" s="1"/>
      <c r="DQ1982" s="1"/>
      <c r="DR1982" s="1"/>
      <c r="DS1982" s="1"/>
      <c r="DT1982" s="1"/>
      <c r="DU1982" s="1"/>
      <c r="DV1982" s="1"/>
      <c r="DW1982" s="1"/>
      <c r="DX1982" s="1"/>
      <c r="DY1982" s="1"/>
      <c r="DZ1982" s="1"/>
      <c r="EA1982" s="1"/>
      <c r="EB1982" s="1"/>
      <c r="EC1982" s="1"/>
      <c r="ED1982" s="1"/>
      <c r="EE1982" s="1"/>
      <c r="EF1982" s="1"/>
      <c r="EG1982" s="1"/>
      <c r="EH1982" s="1"/>
      <c r="EI1982" s="1"/>
      <c r="EJ1982" s="1"/>
      <c r="EK1982" s="1"/>
      <c r="EL1982" s="1"/>
      <c r="EM1982" s="1"/>
      <c r="EN1982" s="1"/>
      <c r="EO1982" s="1"/>
      <c r="EP1982" s="1"/>
      <c r="EQ1982" s="1"/>
      <c r="ER1982" s="1"/>
      <c r="ES1982" s="1"/>
      <c r="ET1982" s="1"/>
      <c r="EU1982" s="1"/>
      <c r="EV1982" s="1"/>
      <c r="EW1982" s="1"/>
      <c r="EX1982" s="1"/>
      <c r="EY1982" s="1"/>
      <c r="EZ1982" s="1"/>
      <c r="FA1982" s="1"/>
      <c r="FB1982" s="1"/>
      <c r="FC1982" s="1"/>
      <c r="FD1982" s="1"/>
      <c r="FE1982" s="1"/>
      <c r="FF1982" s="1"/>
      <c r="FG1982" s="1"/>
      <c r="FH1982" s="1"/>
      <c r="FI1982" s="1"/>
      <c r="FJ1982" s="1"/>
      <c r="FK1982" s="1"/>
      <c r="FL1982" s="1"/>
      <c r="FM1982" s="1"/>
      <c r="FN1982" s="1"/>
      <c r="FO1982" s="1"/>
      <c r="FP1982" s="1"/>
      <c r="FQ1982" s="1"/>
      <c r="FR1982" s="1"/>
      <c r="FS1982" s="1"/>
      <c r="FT1982" s="1"/>
      <c r="FU1982" s="1"/>
      <c r="FV1982" s="1"/>
      <c r="FW1982" s="1"/>
      <c r="FX1982" s="1"/>
      <c r="FY1982" s="1"/>
      <c r="FZ1982" s="1"/>
      <c r="GA1982" s="1"/>
      <c r="GB1982" s="1"/>
      <c r="GC1982" s="1"/>
      <c r="GD1982" s="1"/>
      <c r="GE1982" s="1"/>
      <c r="GF1982" s="1"/>
      <c r="GG1982" s="1"/>
      <c r="GH1982" s="1"/>
      <c r="GI1982" s="1"/>
      <c r="GJ1982" s="1"/>
      <c r="GK1982" s="1"/>
      <c r="GL1982" s="1"/>
      <c r="GM1982" s="1"/>
      <c r="GN1982" s="1"/>
      <c r="GO1982" s="1"/>
      <c r="GP1982" s="1"/>
      <c r="GQ1982" s="1"/>
      <c r="GR1982" s="1"/>
      <c r="GS1982" s="1"/>
      <c r="GT1982" s="1"/>
      <c r="GU1982" s="1"/>
      <c r="GV1982" s="1"/>
      <c r="GW1982" s="1"/>
      <c r="GX1982" s="1"/>
      <c r="GY1982" s="1"/>
      <c r="GZ1982" s="1"/>
      <c r="HA1982" s="1"/>
      <c r="HB1982" s="1"/>
      <c r="HC1982" s="1"/>
      <c r="HD1982" s="1"/>
      <c r="HE1982" s="1"/>
      <c r="HF1982" s="1"/>
      <c r="HG1982" s="1"/>
      <c r="HH1982" s="1"/>
    </row>
    <row r="1983" spans="1:216" x14ac:dyDescent="0.3">
      <c r="A1983" s="3"/>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c r="DK1983" s="1"/>
      <c r="DL1983" s="1"/>
      <c r="DM1983" s="1"/>
      <c r="DN1983" s="1"/>
      <c r="DO1983" s="1"/>
      <c r="DP1983" s="1"/>
      <c r="DQ1983" s="1"/>
      <c r="DR1983" s="1"/>
      <c r="DS1983" s="1"/>
      <c r="DT1983" s="1"/>
      <c r="DU1983" s="1"/>
      <c r="DV1983" s="1"/>
      <c r="DW1983" s="1"/>
      <c r="DX1983" s="1"/>
      <c r="DY1983" s="1"/>
      <c r="DZ1983" s="1"/>
      <c r="EA1983" s="1"/>
      <c r="EB1983" s="1"/>
      <c r="EC1983" s="1"/>
      <c r="ED1983" s="1"/>
      <c r="EE1983" s="1"/>
      <c r="EF1983" s="1"/>
      <c r="EG1983" s="1"/>
      <c r="EH1983" s="1"/>
      <c r="EI1983" s="1"/>
      <c r="EJ1983" s="1"/>
      <c r="EK1983" s="1"/>
      <c r="EL1983" s="1"/>
      <c r="EM1983" s="1"/>
      <c r="EN1983" s="1"/>
      <c r="EO1983" s="1"/>
      <c r="EP1983" s="1"/>
      <c r="EQ1983" s="1"/>
      <c r="ER1983" s="1"/>
      <c r="ES1983" s="1"/>
      <c r="ET1983" s="1"/>
      <c r="EU1983" s="1"/>
      <c r="EV1983" s="1"/>
      <c r="EW1983" s="1"/>
      <c r="EX1983" s="1"/>
      <c r="EY1983" s="1"/>
      <c r="EZ1983" s="1"/>
      <c r="FA1983" s="1"/>
      <c r="FB1983" s="1"/>
      <c r="FC1983" s="1"/>
      <c r="FD1983" s="1"/>
      <c r="FE1983" s="1"/>
      <c r="FF1983" s="1"/>
      <c r="FG1983" s="1"/>
      <c r="FH1983" s="1"/>
      <c r="FI1983" s="1"/>
      <c r="FJ1983" s="1"/>
      <c r="FK1983" s="1"/>
      <c r="FL1983" s="1"/>
      <c r="FM1983" s="1"/>
      <c r="FN1983" s="1"/>
      <c r="FO1983" s="1"/>
      <c r="FP1983" s="1"/>
      <c r="FQ1983" s="1"/>
      <c r="FR1983" s="1"/>
      <c r="FS1983" s="1"/>
      <c r="FT1983" s="1"/>
      <c r="FU1983" s="1"/>
      <c r="FV1983" s="1"/>
      <c r="FW1983" s="1"/>
      <c r="FX1983" s="1"/>
      <c r="FY1983" s="1"/>
      <c r="FZ1983" s="1"/>
      <c r="GA1983" s="1"/>
      <c r="GB1983" s="1"/>
      <c r="GC1983" s="1"/>
      <c r="GD1983" s="1"/>
      <c r="GE1983" s="1"/>
      <c r="GF1983" s="1"/>
      <c r="GG1983" s="1"/>
      <c r="GH1983" s="1"/>
      <c r="GI1983" s="1"/>
      <c r="GJ1983" s="1"/>
      <c r="GK1983" s="1"/>
      <c r="GL1983" s="1"/>
      <c r="GM1983" s="1"/>
      <c r="GN1983" s="1"/>
      <c r="GO1983" s="1"/>
      <c r="GP1983" s="1"/>
      <c r="GQ1983" s="1"/>
      <c r="GR1983" s="1"/>
      <c r="GS1983" s="1"/>
      <c r="GT1983" s="1"/>
      <c r="GU1983" s="1"/>
      <c r="GV1983" s="1"/>
      <c r="GW1983" s="1"/>
      <c r="GX1983" s="1"/>
      <c r="GY1983" s="1"/>
      <c r="GZ1983" s="1"/>
      <c r="HA1983" s="1"/>
      <c r="HB1983" s="1"/>
      <c r="HC1983" s="1"/>
      <c r="HD1983" s="1"/>
      <c r="HE1983" s="1"/>
      <c r="HF1983" s="1"/>
      <c r="HG1983" s="1"/>
      <c r="HH1983" s="1"/>
    </row>
    <row r="1984" spans="1:216" x14ac:dyDescent="0.3">
      <c r="A1984" s="3"/>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c r="DM1984" s="1"/>
      <c r="DN1984" s="1"/>
      <c r="DO1984" s="1"/>
      <c r="DP1984" s="1"/>
      <c r="DQ1984" s="1"/>
      <c r="DR1984" s="1"/>
      <c r="DS1984" s="1"/>
      <c r="DT1984" s="1"/>
      <c r="DU1984" s="1"/>
      <c r="DV1984" s="1"/>
      <c r="DW1984" s="1"/>
      <c r="DX1984" s="1"/>
      <c r="DY1984" s="1"/>
      <c r="DZ1984" s="1"/>
      <c r="EA1984" s="1"/>
      <c r="EB1984" s="1"/>
      <c r="EC1984" s="1"/>
      <c r="ED1984" s="1"/>
      <c r="EE1984" s="1"/>
      <c r="EF1984" s="1"/>
      <c r="EG1984" s="1"/>
      <c r="EH1984" s="1"/>
      <c r="EI1984" s="1"/>
      <c r="EJ1984" s="1"/>
      <c r="EK1984" s="1"/>
      <c r="EL1984" s="1"/>
      <c r="EM1984" s="1"/>
      <c r="EN1984" s="1"/>
      <c r="EO1984" s="1"/>
      <c r="EP1984" s="1"/>
      <c r="EQ1984" s="1"/>
      <c r="ER1984" s="1"/>
      <c r="ES1984" s="1"/>
      <c r="ET1984" s="1"/>
      <c r="EU1984" s="1"/>
      <c r="EV1984" s="1"/>
      <c r="EW1984" s="1"/>
      <c r="EX1984" s="1"/>
      <c r="EY1984" s="1"/>
      <c r="EZ1984" s="1"/>
      <c r="FA1984" s="1"/>
      <c r="FB1984" s="1"/>
      <c r="FC1984" s="1"/>
      <c r="FD1984" s="1"/>
      <c r="FE1984" s="1"/>
      <c r="FF1984" s="1"/>
      <c r="FG1984" s="1"/>
      <c r="FH1984" s="1"/>
      <c r="FI1984" s="1"/>
      <c r="FJ1984" s="1"/>
      <c r="FK1984" s="1"/>
      <c r="FL1984" s="1"/>
      <c r="FM1984" s="1"/>
      <c r="FN1984" s="1"/>
      <c r="FO1984" s="1"/>
      <c r="FP1984" s="1"/>
      <c r="FQ1984" s="1"/>
      <c r="FR1984" s="1"/>
      <c r="FS1984" s="1"/>
      <c r="FT1984" s="1"/>
      <c r="FU1984" s="1"/>
      <c r="FV1984" s="1"/>
      <c r="FW1984" s="1"/>
      <c r="FX1984" s="1"/>
      <c r="FY1984" s="1"/>
      <c r="FZ1984" s="1"/>
      <c r="GA1984" s="1"/>
      <c r="GB1984" s="1"/>
      <c r="GC1984" s="1"/>
      <c r="GD1984" s="1"/>
      <c r="GE1984" s="1"/>
      <c r="GF1984" s="1"/>
      <c r="GG1984" s="1"/>
      <c r="GH1984" s="1"/>
      <c r="GI1984" s="1"/>
      <c r="GJ1984" s="1"/>
      <c r="GK1984" s="1"/>
      <c r="GL1984" s="1"/>
      <c r="GM1984" s="1"/>
      <c r="GN1984" s="1"/>
      <c r="GO1984" s="1"/>
      <c r="GP1984" s="1"/>
      <c r="GQ1984" s="1"/>
      <c r="GR1984" s="1"/>
      <c r="GS1984" s="1"/>
      <c r="GT1984" s="1"/>
      <c r="GU1984" s="1"/>
      <c r="GV1984" s="1"/>
      <c r="GW1984" s="1"/>
      <c r="GX1984" s="1"/>
      <c r="GY1984" s="1"/>
      <c r="GZ1984" s="1"/>
      <c r="HA1984" s="1"/>
      <c r="HB1984" s="1"/>
      <c r="HC1984" s="1"/>
      <c r="HD1984" s="1"/>
      <c r="HE1984" s="1"/>
      <c r="HF1984" s="1"/>
      <c r="HG1984" s="1"/>
      <c r="HH1984" s="1"/>
    </row>
    <row r="1985" spans="1:216" x14ac:dyDescent="0.3">
      <c r="A1985" s="3"/>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c r="DK1985" s="1"/>
      <c r="DL1985" s="1"/>
      <c r="DM1985" s="1"/>
      <c r="DN1985" s="1"/>
      <c r="DO1985" s="1"/>
      <c r="DP1985" s="1"/>
      <c r="DQ1985" s="1"/>
      <c r="DR1985" s="1"/>
      <c r="DS1985" s="1"/>
      <c r="DT1985" s="1"/>
      <c r="DU1985" s="1"/>
      <c r="DV1985" s="1"/>
      <c r="DW1985" s="1"/>
      <c r="DX1985" s="1"/>
      <c r="DY1985" s="1"/>
      <c r="DZ1985" s="1"/>
      <c r="EA1985" s="1"/>
      <c r="EB1985" s="1"/>
      <c r="EC1985" s="1"/>
      <c r="ED1985" s="1"/>
      <c r="EE1985" s="1"/>
      <c r="EF1985" s="1"/>
      <c r="EG1985" s="1"/>
      <c r="EH1985" s="1"/>
      <c r="EI1985" s="1"/>
      <c r="EJ1985" s="1"/>
      <c r="EK1985" s="1"/>
      <c r="EL1985" s="1"/>
      <c r="EM1985" s="1"/>
      <c r="EN1985" s="1"/>
      <c r="EO1985" s="1"/>
      <c r="EP1985" s="1"/>
      <c r="EQ1985" s="1"/>
      <c r="ER1985" s="1"/>
      <c r="ES1985" s="1"/>
      <c r="ET1985" s="1"/>
      <c r="EU1985" s="1"/>
      <c r="EV1985" s="1"/>
      <c r="EW1985" s="1"/>
      <c r="EX1985" s="1"/>
      <c r="EY1985" s="1"/>
      <c r="EZ1985" s="1"/>
      <c r="FA1985" s="1"/>
      <c r="FB1985" s="1"/>
      <c r="FC1985" s="1"/>
      <c r="FD1985" s="1"/>
      <c r="FE1985" s="1"/>
      <c r="FF1985" s="1"/>
      <c r="FG1985" s="1"/>
      <c r="FH1985" s="1"/>
      <c r="FI1985" s="1"/>
      <c r="FJ1985" s="1"/>
      <c r="FK1985" s="1"/>
      <c r="FL1985" s="1"/>
      <c r="FM1985" s="1"/>
      <c r="FN1985" s="1"/>
      <c r="FO1985" s="1"/>
      <c r="FP1985" s="1"/>
      <c r="FQ1985" s="1"/>
      <c r="FR1985" s="1"/>
      <c r="FS1985" s="1"/>
      <c r="FT1985" s="1"/>
      <c r="FU1985" s="1"/>
      <c r="FV1985" s="1"/>
      <c r="FW1985" s="1"/>
      <c r="FX1985" s="1"/>
      <c r="FY1985" s="1"/>
      <c r="FZ1985" s="1"/>
      <c r="GA1985" s="1"/>
      <c r="GB1985" s="1"/>
      <c r="GC1985" s="1"/>
      <c r="GD1985" s="1"/>
      <c r="GE1985" s="1"/>
      <c r="GF1985" s="1"/>
      <c r="GG1985" s="1"/>
      <c r="GH1985" s="1"/>
      <c r="GI1985" s="1"/>
      <c r="GJ1985" s="1"/>
      <c r="GK1985" s="1"/>
      <c r="GL1985" s="1"/>
      <c r="GM1985" s="1"/>
      <c r="GN1985" s="1"/>
      <c r="GO1985" s="1"/>
      <c r="GP1985" s="1"/>
      <c r="GQ1985" s="1"/>
      <c r="GR1985" s="1"/>
      <c r="GS1985" s="1"/>
      <c r="GT1985" s="1"/>
      <c r="GU1985" s="1"/>
      <c r="GV1985" s="1"/>
      <c r="GW1985" s="1"/>
      <c r="GX1985" s="1"/>
      <c r="GY1985" s="1"/>
      <c r="GZ1985" s="1"/>
      <c r="HA1985" s="1"/>
      <c r="HB1985" s="1"/>
      <c r="HC1985" s="1"/>
      <c r="HD1985" s="1"/>
      <c r="HE1985" s="1"/>
      <c r="HF1985" s="1"/>
      <c r="HG1985" s="1"/>
      <c r="HH1985" s="1"/>
    </row>
    <row r="1986" spans="1:216" x14ac:dyDescent="0.3">
      <c r="A1986" s="3"/>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c r="DM1986" s="1"/>
      <c r="DN1986" s="1"/>
      <c r="DO1986" s="1"/>
      <c r="DP1986" s="1"/>
      <c r="DQ1986" s="1"/>
      <c r="DR1986" s="1"/>
      <c r="DS1986" s="1"/>
      <c r="DT1986" s="1"/>
      <c r="DU1986" s="1"/>
      <c r="DV1986" s="1"/>
      <c r="DW1986" s="1"/>
      <c r="DX1986" s="1"/>
      <c r="DY1986" s="1"/>
      <c r="DZ1986" s="1"/>
      <c r="EA1986" s="1"/>
      <c r="EB1986" s="1"/>
      <c r="EC1986" s="1"/>
      <c r="ED1986" s="1"/>
      <c r="EE1986" s="1"/>
      <c r="EF1986" s="1"/>
      <c r="EG1986" s="1"/>
      <c r="EH1986" s="1"/>
      <c r="EI1986" s="1"/>
      <c r="EJ1986" s="1"/>
      <c r="EK1986" s="1"/>
      <c r="EL1986" s="1"/>
      <c r="EM1986" s="1"/>
      <c r="EN1986" s="1"/>
      <c r="EO1986" s="1"/>
      <c r="EP1986" s="1"/>
      <c r="EQ1986" s="1"/>
      <c r="ER1986" s="1"/>
      <c r="ES1986" s="1"/>
      <c r="ET1986" s="1"/>
      <c r="EU1986" s="1"/>
      <c r="EV1986" s="1"/>
      <c r="EW1986" s="1"/>
      <c r="EX1986" s="1"/>
      <c r="EY1986" s="1"/>
      <c r="EZ1986" s="1"/>
      <c r="FA1986" s="1"/>
      <c r="FB1986" s="1"/>
      <c r="FC1986" s="1"/>
      <c r="FD1986" s="1"/>
      <c r="FE1986" s="1"/>
      <c r="FF1986" s="1"/>
      <c r="FG1986" s="1"/>
      <c r="FH1986" s="1"/>
      <c r="FI1986" s="1"/>
      <c r="FJ1986" s="1"/>
      <c r="FK1986" s="1"/>
      <c r="FL1986" s="1"/>
      <c r="FM1986" s="1"/>
      <c r="FN1986" s="1"/>
      <c r="FO1986" s="1"/>
      <c r="FP1986" s="1"/>
      <c r="FQ1986" s="1"/>
      <c r="FR1986" s="1"/>
      <c r="FS1986" s="1"/>
      <c r="FT1986" s="1"/>
      <c r="FU1986" s="1"/>
      <c r="FV1986" s="1"/>
      <c r="FW1986" s="1"/>
      <c r="FX1986" s="1"/>
      <c r="FY1986" s="1"/>
      <c r="FZ1986" s="1"/>
      <c r="GA1986" s="1"/>
      <c r="GB1986" s="1"/>
      <c r="GC1986" s="1"/>
      <c r="GD1986" s="1"/>
      <c r="GE1986" s="1"/>
      <c r="GF1986" s="1"/>
      <c r="GG1986" s="1"/>
      <c r="GH1986" s="1"/>
      <c r="GI1986" s="1"/>
      <c r="GJ1986" s="1"/>
      <c r="GK1986" s="1"/>
      <c r="GL1986" s="1"/>
      <c r="GM1986" s="1"/>
      <c r="GN1986" s="1"/>
      <c r="GO1986" s="1"/>
      <c r="GP1986" s="1"/>
      <c r="GQ1986" s="1"/>
      <c r="GR1986" s="1"/>
      <c r="GS1986" s="1"/>
      <c r="GT1986" s="1"/>
      <c r="GU1986" s="1"/>
      <c r="GV1986" s="1"/>
      <c r="GW1986" s="1"/>
      <c r="GX1986" s="1"/>
      <c r="GY1986" s="1"/>
      <c r="GZ1986" s="1"/>
      <c r="HA1986" s="1"/>
      <c r="HB1986" s="1"/>
      <c r="HC1986" s="1"/>
      <c r="HD1986" s="1"/>
      <c r="HE1986" s="1"/>
      <c r="HF1986" s="1"/>
      <c r="HG1986" s="1"/>
      <c r="HH1986" s="1"/>
    </row>
    <row r="1987" spans="1:216" x14ac:dyDescent="0.3">
      <c r="A1987" s="3"/>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
      <c r="DQ1987" s="1"/>
      <c r="DR1987" s="1"/>
      <c r="DS1987" s="1"/>
      <c r="DT1987" s="1"/>
      <c r="DU1987" s="1"/>
      <c r="DV1987" s="1"/>
      <c r="DW1987" s="1"/>
      <c r="DX1987" s="1"/>
      <c r="DY1987" s="1"/>
      <c r="DZ1987" s="1"/>
      <c r="EA1987" s="1"/>
      <c r="EB1987" s="1"/>
      <c r="EC1987" s="1"/>
      <c r="ED1987" s="1"/>
      <c r="EE1987" s="1"/>
      <c r="EF1987" s="1"/>
      <c r="EG1987" s="1"/>
      <c r="EH1987" s="1"/>
      <c r="EI1987" s="1"/>
      <c r="EJ1987" s="1"/>
      <c r="EK1987" s="1"/>
      <c r="EL1987" s="1"/>
      <c r="EM1987" s="1"/>
      <c r="EN1987" s="1"/>
      <c r="EO1987" s="1"/>
      <c r="EP1987" s="1"/>
      <c r="EQ1987" s="1"/>
      <c r="ER1987" s="1"/>
      <c r="ES1987" s="1"/>
      <c r="ET1987" s="1"/>
      <c r="EU1987" s="1"/>
      <c r="EV1987" s="1"/>
      <c r="EW1987" s="1"/>
      <c r="EX1987" s="1"/>
      <c r="EY1987" s="1"/>
      <c r="EZ1987" s="1"/>
      <c r="FA1987" s="1"/>
      <c r="FB1987" s="1"/>
      <c r="FC1987" s="1"/>
      <c r="FD1987" s="1"/>
      <c r="FE1987" s="1"/>
      <c r="FF1987" s="1"/>
      <c r="FG1987" s="1"/>
      <c r="FH1987" s="1"/>
      <c r="FI1987" s="1"/>
      <c r="FJ1987" s="1"/>
      <c r="FK1987" s="1"/>
      <c r="FL1987" s="1"/>
      <c r="FM1987" s="1"/>
      <c r="FN1987" s="1"/>
      <c r="FO1987" s="1"/>
      <c r="FP1987" s="1"/>
      <c r="FQ1987" s="1"/>
      <c r="FR1987" s="1"/>
      <c r="FS1987" s="1"/>
      <c r="FT1987" s="1"/>
      <c r="FU1987" s="1"/>
      <c r="FV1987" s="1"/>
      <c r="FW1987" s="1"/>
      <c r="FX1987" s="1"/>
      <c r="FY1987" s="1"/>
      <c r="FZ1987" s="1"/>
      <c r="GA1987" s="1"/>
      <c r="GB1987" s="1"/>
      <c r="GC1987" s="1"/>
      <c r="GD1987" s="1"/>
      <c r="GE1987" s="1"/>
      <c r="GF1987" s="1"/>
      <c r="GG1987" s="1"/>
      <c r="GH1987" s="1"/>
      <c r="GI1987" s="1"/>
      <c r="GJ1987" s="1"/>
      <c r="GK1987" s="1"/>
      <c r="GL1987" s="1"/>
      <c r="GM1987" s="1"/>
      <c r="GN1987" s="1"/>
      <c r="GO1987" s="1"/>
      <c r="GP1987" s="1"/>
      <c r="GQ1987" s="1"/>
      <c r="GR1987" s="1"/>
      <c r="GS1987" s="1"/>
      <c r="GT1987" s="1"/>
      <c r="GU1987" s="1"/>
      <c r="GV1987" s="1"/>
      <c r="GW1987" s="1"/>
      <c r="GX1987" s="1"/>
      <c r="GY1987" s="1"/>
      <c r="GZ1987" s="1"/>
      <c r="HA1987" s="1"/>
      <c r="HB1987" s="1"/>
      <c r="HC1987" s="1"/>
      <c r="HD1987" s="1"/>
      <c r="HE1987" s="1"/>
      <c r="HF1987" s="1"/>
      <c r="HG1987" s="1"/>
      <c r="HH1987" s="1"/>
    </row>
    <row r="1988" spans="1:216" x14ac:dyDescent="0.3">
      <c r="A1988" s="3"/>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c r="DM1988" s="1"/>
      <c r="DN1988" s="1"/>
      <c r="DO1988" s="1"/>
      <c r="DP1988" s="1"/>
      <c r="DQ1988" s="1"/>
      <c r="DR1988" s="1"/>
      <c r="DS1988" s="1"/>
      <c r="DT1988" s="1"/>
      <c r="DU1988" s="1"/>
      <c r="DV1988" s="1"/>
      <c r="DW1988" s="1"/>
      <c r="DX1988" s="1"/>
      <c r="DY1988" s="1"/>
      <c r="DZ1988" s="1"/>
      <c r="EA1988" s="1"/>
      <c r="EB1988" s="1"/>
      <c r="EC1988" s="1"/>
      <c r="ED1988" s="1"/>
      <c r="EE1988" s="1"/>
      <c r="EF1988" s="1"/>
      <c r="EG1988" s="1"/>
      <c r="EH1988" s="1"/>
      <c r="EI1988" s="1"/>
      <c r="EJ1988" s="1"/>
      <c r="EK1988" s="1"/>
      <c r="EL1988" s="1"/>
      <c r="EM1988" s="1"/>
      <c r="EN1988" s="1"/>
      <c r="EO1988" s="1"/>
      <c r="EP1988" s="1"/>
      <c r="EQ1988" s="1"/>
      <c r="ER1988" s="1"/>
      <c r="ES1988" s="1"/>
      <c r="ET1988" s="1"/>
      <c r="EU1988" s="1"/>
      <c r="EV1988" s="1"/>
      <c r="EW1988" s="1"/>
      <c r="EX1988" s="1"/>
      <c r="EY1988" s="1"/>
      <c r="EZ1988" s="1"/>
      <c r="FA1988" s="1"/>
      <c r="FB1988" s="1"/>
      <c r="FC1988" s="1"/>
      <c r="FD1988" s="1"/>
      <c r="FE1988" s="1"/>
      <c r="FF1988" s="1"/>
      <c r="FG1988" s="1"/>
      <c r="FH1988" s="1"/>
      <c r="FI1988" s="1"/>
      <c r="FJ1988" s="1"/>
      <c r="FK1988" s="1"/>
      <c r="FL1988" s="1"/>
      <c r="FM1988" s="1"/>
      <c r="FN1988" s="1"/>
      <c r="FO1988" s="1"/>
      <c r="FP1988" s="1"/>
      <c r="FQ1988" s="1"/>
      <c r="FR1988" s="1"/>
      <c r="FS1988" s="1"/>
      <c r="FT1988" s="1"/>
      <c r="FU1988" s="1"/>
      <c r="FV1988" s="1"/>
      <c r="FW1988" s="1"/>
      <c r="FX1988" s="1"/>
      <c r="FY1988" s="1"/>
      <c r="FZ1988" s="1"/>
      <c r="GA1988" s="1"/>
      <c r="GB1988" s="1"/>
      <c r="GC1988" s="1"/>
      <c r="GD1988" s="1"/>
      <c r="GE1988" s="1"/>
      <c r="GF1988" s="1"/>
      <c r="GG1988" s="1"/>
      <c r="GH1988" s="1"/>
      <c r="GI1988" s="1"/>
      <c r="GJ1988" s="1"/>
      <c r="GK1988" s="1"/>
      <c r="GL1988" s="1"/>
      <c r="GM1988" s="1"/>
      <c r="GN1988" s="1"/>
      <c r="GO1988" s="1"/>
      <c r="GP1988" s="1"/>
      <c r="GQ1988" s="1"/>
      <c r="GR1988" s="1"/>
      <c r="GS1988" s="1"/>
      <c r="GT1988" s="1"/>
      <c r="GU1988" s="1"/>
      <c r="GV1988" s="1"/>
      <c r="GW1988" s="1"/>
      <c r="GX1988" s="1"/>
      <c r="GY1988" s="1"/>
      <c r="GZ1988" s="1"/>
      <c r="HA1988" s="1"/>
      <c r="HB1988" s="1"/>
      <c r="HC1988" s="1"/>
      <c r="HD1988" s="1"/>
      <c r="HE1988" s="1"/>
      <c r="HF1988" s="1"/>
      <c r="HG1988" s="1"/>
      <c r="HH1988" s="1"/>
    </row>
    <row r="1989" spans="1:216" x14ac:dyDescent="0.3">
      <c r="A1989" s="3"/>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c r="DM1989" s="1"/>
      <c r="DN1989" s="1"/>
      <c r="DO1989" s="1"/>
      <c r="DP1989" s="1"/>
      <c r="DQ1989" s="1"/>
      <c r="DR1989" s="1"/>
      <c r="DS1989" s="1"/>
      <c r="DT1989" s="1"/>
      <c r="DU1989" s="1"/>
      <c r="DV1989" s="1"/>
      <c r="DW1989" s="1"/>
      <c r="DX1989" s="1"/>
      <c r="DY1989" s="1"/>
      <c r="DZ1989" s="1"/>
      <c r="EA1989" s="1"/>
      <c r="EB1989" s="1"/>
      <c r="EC1989" s="1"/>
      <c r="ED1989" s="1"/>
      <c r="EE1989" s="1"/>
      <c r="EF1989" s="1"/>
      <c r="EG1989" s="1"/>
      <c r="EH1989" s="1"/>
      <c r="EI1989" s="1"/>
      <c r="EJ1989" s="1"/>
      <c r="EK1989" s="1"/>
      <c r="EL1989" s="1"/>
      <c r="EM1989" s="1"/>
      <c r="EN1989" s="1"/>
      <c r="EO1989" s="1"/>
      <c r="EP1989" s="1"/>
      <c r="EQ1989" s="1"/>
      <c r="ER1989" s="1"/>
      <c r="ES1989" s="1"/>
      <c r="ET1989" s="1"/>
      <c r="EU1989" s="1"/>
      <c r="EV1989" s="1"/>
      <c r="EW1989" s="1"/>
      <c r="EX1989" s="1"/>
      <c r="EY1989" s="1"/>
      <c r="EZ1989" s="1"/>
      <c r="FA1989" s="1"/>
      <c r="FB1989" s="1"/>
      <c r="FC1989" s="1"/>
      <c r="FD1989" s="1"/>
      <c r="FE1989" s="1"/>
      <c r="FF1989" s="1"/>
      <c r="FG1989" s="1"/>
      <c r="FH1989" s="1"/>
      <c r="FI1989" s="1"/>
      <c r="FJ1989" s="1"/>
      <c r="FK1989" s="1"/>
      <c r="FL1989" s="1"/>
      <c r="FM1989" s="1"/>
      <c r="FN1989" s="1"/>
      <c r="FO1989" s="1"/>
      <c r="FP1989" s="1"/>
      <c r="FQ1989" s="1"/>
      <c r="FR1989" s="1"/>
      <c r="FS1989" s="1"/>
      <c r="FT1989" s="1"/>
      <c r="FU1989" s="1"/>
      <c r="FV1989" s="1"/>
      <c r="FW1989" s="1"/>
      <c r="FX1989" s="1"/>
      <c r="FY1989" s="1"/>
      <c r="FZ1989" s="1"/>
      <c r="GA1989" s="1"/>
      <c r="GB1989" s="1"/>
      <c r="GC1989" s="1"/>
      <c r="GD1989" s="1"/>
      <c r="GE1989" s="1"/>
      <c r="GF1989" s="1"/>
      <c r="GG1989" s="1"/>
      <c r="GH1989" s="1"/>
      <c r="GI1989" s="1"/>
      <c r="GJ1989" s="1"/>
      <c r="GK1989" s="1"/>
      <c r="GL1989" s="1"/>
      <c r="GM1989" s="1"/>
      <c r="GN1989" s="1"/>
      <c r="GO1989" s="1"/>
      <c r="GP1989" s="1"/>
      <c r="GQ1989" s="1"/>
      <c r="GR1989" s="1"/>
      <c r="GS1989" s="1"/>
      <c r="GT1989" s="1"/>
      <c r="GU1989" s="1"/>
      <c r="GV1989" s="1"/>
      <c r="GW1989" s="1"/>
      <c r="GX1989" s="1"/>
      <c r="GY1989" s="1"/>
      <c r="GZ1989" s="1"/>
      <c r="HA1989" s="1"/>
      <c r="HB1989" s="1"/>
      <c r="HC1989" s="1"/>
      <c r="HD1989" s="1"/>
      <c r="HE1989" s="1"/>
      <c r="HF1989" s="1"/>
      <c r="HG1989" s="1"/>
      <c r="HH1989" s="1"/>
    </row>
    <row r="1990" spans="1:216" x14ac:dyDescent="0.3">
      <c r="A1990" s="3"/>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
      <c r="DQ1990" s="1"/>
      <c r="DR1990" s="1"/>
      <c r="DS1990" s="1"/>
      <c r="DT1990" s="1"/>
      <c r="DU1990" s="1"/>
      <c r="DV1990" s="1"/>
      <c r="DW1990" s="1"/>
      <c r="DX1990" s="1"/>
      <c r="DY1990" s="1"/>
      <c r="DZ1990" s="1"/>
      <c r="EA1990" s="1"/>
      <c r="EB1990" s="1"/>
      <c r="EC1990" s="1"/>
      <c r="ED1990" s="1"/>
      <c r="EE1990" s="1"/>
      <c r="EF1990" s="1"/>
      <c r="EG1990" s="1"/>
      <c r="EH1990" s="1"/>
      <c r="EI1990" s="1"/>
      <c r="EJ1990" s="1"/>
      <c r="EK1990" s="1"/>
      <c r="EL1990" s="1"/>
      <c r="EM1990" s="1"/>
      <c r="EN1990" s="1"/>
      <c r="EO1990" s="1"/>
      <c r="EP1990" s="1"/>
      <c r="EQ1990" s="1"/>
      <c r="ER1990" s="1"/>
      <c r="ES1990" s="1"/>
      <c r="ET1990" s="1"/>
      <c r="EU1990" s="1"/>
      <c r="EV1990" s="1"/>
      <c r="EW1990" s="1"/>
      <c r="EX1990" s="1"/>
      <c r="EY1990" s="1"/>
      <c r="EZ1990" s="1"/>
      <c r="FA1990" s="1"/>
      <c r="FB1990" s="1"/>
      <c r="FC1990" s="1"/>
      <c r="FD1990" s="1"/>
      <c r="FE1990" s="1"/>
      <c r="FF1990" s="1"/>
      <c r="FG1990" s="1"/>
      <c r="FH1990" s="1"/>
      <c r="FI1990" s="1"/>
      <c r="FJ1990" s="1"/>
      <c r="FK1990" s="1"/>
      <c r="FL1990" s="1"/>
      <c r="FM1990" s="1"/>
      <c r="FN1990" s="1"/>
      <c r="FO1990" s="1"/>
      <c r="FP1990" s="1"/>
      <c r="FQ1990" s="1"/>
      <c r="FR1990" s="1"/>
      <c r="FS1990" s="1"/>
      <c r="FT1990" s="1"/>
      <c r="FU1990" s="1"/>
      <c r="FV1990" s="1"/>
      <c r="FW1990" s="1"/>
      <c r="FX1990" s="1"/>
      <c r="FY1990" s="1"/>
      <c r="FZ1990" s="1"/>
      <c r="GA1990" s="1"/>
      <c r="GB1990" s="1"/>
      <c r="GC1990" s="1"/>
      <c r="GD1990" s="1"/>
      <c r="GE1990" s="1"/>
      <c r="GF1990" s="1"/>
      <c r="GG1990" s="1"/>
      <c r="GH1990" s="1"/>
      <c r="GI1990" s="1"/>
      <c r="GJ1990" s="1"/>
      <c r="GK1990" s="1"/>
      <c r="GL1990" s="1"/>
      <c r="GM1990" s="1"/>
      <c r="GN1990" s="1"/>
      <c r="GO1990" s="1"/>
      <c r="GP1990" s="1"/>
      <c r="GQ1990" s="1"/>
      <c r="GR1990" s="1"/>
      <c r="GS1990" s="1"/>
      <c r="GT1990" s="1"/>
      <c r="GU1990" s="1"/>
      <c r="GV1990" s="1"/>
      <c r="GW1990" s="1"/>
      <c r="GX1990" s="1"/>
      <c r="GY1990" s="1"/>
      <c r="GZ1990" s="1"/>
      <c r="HA1990" s="1"/>
      <c r="HB1990" s="1"/>
      <c r="HC1990" s="1"/>
      <c r="HD1990" s="1"/>
      <c r="HE1990" s="1"/>
      <c r="HF1990" s="1"/>
      <c r="HG1990" s="1"/>
      <c r="HH1990" s="1"/>
    </row>
    <row r="1991" spans="1:216" x14ac:dyDescent="0.3">
      <c r="A1991" s="3"/>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
      <c r="DQ1991" s="1"/>
      <c r="DR1991" s="1"/>
      <c r="DS1991" s="1"/>
      <c r="DT1991" s="1"/>
      <c r="DU1991" s="1"/>
      <c r="DV1991" s="1"/>
      <c r="DW1991" s="1"/>
      <c r="DX1991" s="1"/>
      <c r="DY1991" s="1"/>
      <c r="DZ1991" s="1"/>
      <c r="EA1991" s="1"/>
      <c r="EB1991" s="1"/>
      <c r="EC1991" s="1"/>
      <c r="ED1991" s="1"/>
      <c r="EE1991" s="1"/>
      <c r="EF1991" s="1"/>
      <c r="EG1991" s="1"/>
      <c r="EH1991" s="1"/>
      <c r="EI1991" s="1"/>
      <c r="EJ1991" s="1"/>
      <c r="EK1991" s="1"/>
      <c r="EL1991" s="1"/>
      <c r="EM1991" s="1"/>
      <c r="EN1991" s="1"/>
      <c r="EO1991" s="1"/>
      <c r="EP1991" s="1"/>
      <c r="EQ1991" s="1"/>
      <c r="ER1991" s="1"/>
      <c r="ES1991" s="1"/>
      <c r="ET1991" s="1"/>
      <c r="EU1991" s="1"/>
      <c r="EV1991" s="1"/>
      <c r="EW1991" s="1"/>
      <c r="EX1991" s="1"/>
      <c r="EY1991" s="1"/>
      <c r="EZ1991" s="1"/>
      <c r="FA1991" s="1"/>
      <c r="FB1991" s="1"/>
      <c r="FC1991" s="1"/>
      <c r="FD1991" s="1"/>
      <c r="FE1991" s="1"/>
      <c r="FF1991" s="1"/>
      <c r="FG1991" s="1"/>
      <c r="FH1991" s="1"/>
      <c r="FI1991" s="1"/>
      <c r="FJ1991" s="1"/>
      <c r="FK1991" s="1"/>
      <c r="FL1991" s="1"/>
      <c r="FM1991" s="1"/>
      <c r="FN1991" s="1"/>
      <c r="FO1991" s="1"/>
      <c r="FP1991" s="1"/>
      <c r="FQ1991" s="1"/>
      <c r="FR1991" s="1"/>
      <c r="FS1991" s="1"/>
      <c r="FT1991" s="1"/>
      <c r="FU1991" s="1"/>
      <c r="FV1991" s="1"/>
      <c r="FW1991" s="1"/>
      <c r="FX1991" s="1"/>
      <c r="FY1991" s="1"/>
      <c r="FZ1991" s="1"/>
      <c r="GA1991" s="1"/>
      <c r="GB1991" s="1"/>
      <c r="GC1991" s="1"/>
      <c r="GD1991" s="1"/>
      <c r="GE1991" s="1"/>
      <c r="GF1991" s="1"/>
      <c r="GG1991" s="1"/>
      <c r="GH1991" s="1"/>
      <c r="GI1991" s="1"/>
      <c r="GJ1991" s="1"/>
      <c r="GK1991" s="1"/>
      <c r="GL1991" s="1"/>
      <c r="GM1991" s="1"/>
      <c r="GN1991" s="1"/>
      <c r="GO1991" s="1"/>
      <c r="GP1991" s="1"/>
      <c r="GQ1991" s="1"/>
      <c r="GR1991" s="1"/>
      <c r="GS1991" s="1"/>
      <c r="GT1991" s="1"/>
      <c r="GU1991" s="1"/>
      <c r="GV1991" s="1"/>
      <c r="GW1991" s="1"/>
      <c r="GX1991" s="1"/>
      <c r="GY1991" s="1"/>
      <c r="GZ1991" s="1"/>
      <c r="HA1991" s="1"/>
      <c r="HB1991" s="1"/>
      <c r="HC1991" s="1"/>
      <c r="HD1991" s="1"/>
      <c r="HE1991" s="1"/>
      <c r="HF1991" s="1"/>
      <c r="HG1991" s="1"/>
      <c r="HH1991" s="1"/>
    </row>
    <row r="1992" spans="1:216" x14ac:dyDescent="0.3">
      <c r="A1992" s="3"/>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c r="DU1992" s="1"/>
      <c r="DV1992" s="1"/>
      <c r="DW1992" s="1"/>
      <c r="DX1992" s="1"/>
      <c r="DY1992" s="1"/>
      <c r="DZ1992" s="1"/>
      <c r="EA1992" s="1"/>
      <c r="EB1992" s="1"/>
      <c r="EC1992" s="1"/>
      <c r="ED1992" s="1"/>
      <c r="EE1992" s="1"/>
      <c r="EF1992" s="1"/>
      <c r="EG1992" s="1"/>
      <c r="EH1992" s="1"/>
      <c r="EI1992" s="1"/>
      <c r="EJ1992" s="1"/>
      <c r="EK1992" s="1"/>
      <c r="EL1992" s="1"/>
      <c r="EM1992" s="1"/>
      <c r="EN1992" s="1"/>
      <c r="EO1992" s="1"/>
      <c r="EP1992" s="1"/>
      <c r="EQ1992" s="1"/>
      <c r="ER1992" s="1"/>
      <c r="ES1992" s="1"/>
      <c r="ET1992" s="1"/>
      <c r="EU1992" s="1"/>
      <c r="EV1992" s="1"/>
      <c r="EW1992" s="1"/>
      <c r="EX1992" s="1"/>
      <c r="EY1992" s="1"/>
      <c r="EZ1992" s="1"/>
      <c r="FA1992" s="1"/>
      <c r="FB1992" s="1"/>
      <c r="FC1992" s="1"/>
      <c r="FD1992" s="1"/>
      <c r="FE1992" s="1"/>
      <c r="FF1992" s="1"/>
      <c r="FG1992" s="1"/>
      <c r="FH1992" s="1"/>
      <c r="FI1992" s="1"/>
      <c r="FJ1992" s="1"/>
      <c r="FK1992" s="1"/>
      <c r="FL1992" s="1"/>
      <c r="FM1992" s="1"/>
      <c r="FN1992" s="1"/>
      <c r="FO1992" s="1"/>
      <c r="FP1992" s="1"/>
      <c r="FQ1992" s="1"/>
      <c r="FR1992" s="1"/>
      <c r="FS1992" s="1"/>
      <c r="FT1992" s="1"/>
      <c r="FU1992" s="1"/>
      <c r="FV1992" s="1"/>
      <c r="FW1992" s="1"/>
      <c r="FX1992" s="1"/>
      <c r="FY1992" s="1"/>
      <c r="FZ1992" s="1"/>
      <c r="GA1992" s="1"/>
      <c r="GB1992" s="1"/>
      <c r="GC1992" s="1"/>
      <c r="GD1992" s="1"/>
      <c r="GE1992" s="1"/>
      <c r="GF1992" s="1"/>
      <c r="GG1992" s="1"/>
      <c r="GH1992" s="1"/>
      <c r="GI1992" s="1"/>
      <c r="GJ1992" s="1"/>
      <c r="GK1992" s="1"/>
      <c r="GL1992" s="1"/>
      <c r="GM1992" s="1"/>
      <c r="GN1992" s="1"/>
      <c r="GO1992" s="1"/>
      <c r="GP1992" s="1"/>
      <c r="GQ1992" s="1"/>
      <c r="GR1992" s="1"/>
      <c r="GS1992" s="1"/>
      <c r="GT1992" s="1"/>
      <c r="GU1992" s="1"/>
      <c r="GV1992" s="1"/>
      <c r="GW1992" s="1"/>
      <c r="GX1992" s="1"/>
      <c r="GY1992" s="1"/>
      <c r="GZ1992" s="1"/>
      <c r="HA1992" s="1"/>
      <c r="HB1992" s="1"/>
      <c r="HC1992" s="1"/>
      <c r="HD1992" s="1"/>
      <c r="HE1992" s="1"/>
      <c r="HF1992" s="1"/>
      <c r="HG1992" s="1"/>
      <c r="HH1992" s="1"/>
    </row>
    <row r="1993" spans="1:216" x14ac:dyDescent="0.3">
      <c r="A1993" s="3"/>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c r="DM1993" s="1"/>
      <c r="DN1993" s="1"/>
      <c r="DO1993" s="1"/>
      <c r="DP1993" s="1"/>
      <c r="DQ1993" s="1"/>
      <c r="DR1993" s="1"/>
      <c r="DS1993" s="1"/>
      <c r="DT1993" s="1"/>
      <c r="DU1993" s="1"/>
      <c r="DV1993" s="1"/>
      <c r="DW1993" s="1"/>
      <c r="DX1993" s="1"/>
      <c r="DY1993" s="1"/>
      <c r="DZ1993" s="1"/>
      <c r="EA1993" s="1"/>
      <c r="EB1993" s="1"/>
      <c r="EC1993" s="1"/>
      <c r="ED1993" s="1"/>
      <c r="EE1993" s="1"/>
      <c r="EF1993" s="1"/>
      <c r="EG1993" s="1"/>
      <c r="EH1993" s="1"/>
      <c r="EI1993" s="1"/>
      <c r="EJ1993" s="1"/>
      <c r="EK1993" s="1"/>
      <c r="EL1993" s="1"/>
      <c r="EM1993" s="1"/>
      <c r="EN1993" s="1"/>
      <c r="EO1993" s="1"/>
      <c r="EP1993" s="1"/>
      <c r="EQ1993" s="1"/>
      <c r="ER1993" s="1"/>
      <c r="ES1993" s="1"/>
      <c r="ET1993" s="1"/>
      <c r="EU1993" s="1"/>
      <c r="EV1993" s="1"/>
      <c r="EW1993" s="1"/>
      <c r="EX1993" s="1"/>
      <c r="EY1993" s="1"/>
      <c r="EZ1993" s="1"/>
      <c r="FA1993" s="1"/>
      <c r="FB1993" s="1"/>
      <c r="FC1993" s="1"/>
      <c r="FD1993" s="1"/>
      <c r="FE1993" s="1"/>
      <c r="FF1993" s="1"/>
      <c r="FG1993" s="1"/>
      <c r="FH1993" s="1"/>
      <c r="FI1993" s="1"/>
      <c r="FJ1993" s="1"/>
      <c r="FK1993" s="1"/>
      <c r="FL1993" s="1"/>
      <c r="FM1993" s="1"/>
      <c r="FN1993" s="1"/>
      <c r="FO1993" s="1"/>
      <c r="FP1993" s="1"/>
      <c r="FQ1993" s="1"/>
      <c r="FR1993" s="1"/>
      <c r="FS1993" s="1"/>
      <c r="FT1993" s="1"/>
      <c r="FU1993" s="1"/>
      <c r="FV1993" s="1"/>
      <c r="FW1993" s="1"/>
      <c r="FX1993" s="1"/>
      <c r="FY1993" s="1"/>
      <c r="FZ1993" s="1"/>
      <c r="GA1993" s="1"/>
      <c r="GB1993" s="1"/>
      <c r="GC1993" s="1"/>
      <c r="GD1993" s="1"/>
      <c r="GE1993" s="1"/>
      <c r="GF1993" s="1"/>
      <c r="GG1993" s="1"/>
      <c r="GH1993" s="1"/>
      <c r="GI1993" s="1"/>
      <c r="GJ1993" s="1"/>
      <c r="GK1993" s="1"/>
      <c r="GL1993" s="1"/>
      <c r="GM1993" s="1"/>
      <c r="GN1993" s="1"/>
      <c r="GO1993" s="1"/>
      <c r="GP1993" s="1"/>
      <c r="GQ1993" s="1"/>
      <c r="GR1993" s="1"/>
      <c r="GS1993" s="1"/>
      <c r="GT1993" s="1"/>
      <c r="GU1993" s="1"/>
      <c r="GV1993" s="1"/>
      <c r="GW1993" s="1"/>
      <c r="GX1993" s="1"/>
      <c r="GY1993" s="1"/>
      <c r="GZ1993" s="1"/>
      <c r="HA1993" s="1"/>
      <c r="HB1993" s="1"/>
      <c r="HC1993" s="1"/>
      <c r="HD1993" s="1"/>
      <c r="HE1993" s="1"/>
      <c r="HF1993" s="1"/>
      <c r="HG1993" s="1"/>
      <c r="HH1993" s="1"/>
    </row>
    <row r="1994" spans="1:216" x14ac:dyDescent="0.3">
      <c r="A1994" s="3"/>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
      <c r="DQ1994" s="1"/>
      <c r="DR1994" s="1"/>
      <c r="DS1994" s="1"/>
      <c r="DT1994" s="1"/>
      <c r="DU1994" s="1"/>
      <c r="DV1994" s="1"/>
      <c r="DW1994" s="1"/>
      <c r="DX1994" s="1"/>
      <c r="DY1994" s="1"/>
      <c r="DZ1994" s="1"/>
      <c r="EA1994" s="1"/>
      <c r="EB1994" s="1"/>
      <c r="EC1994" s="1"/>
      <c r="ED1994" s="1"/>
      <c r="EE1994" s="1"/>
      <c r="EF1994" s="1"/>
      <c r="EG1994" s="1"/>
      <c r="EH1994" s="1"/>
      <c r="EI1994" s="1"/>
      <c r="EJ1994" s="1"/>
      <c r="EK1994" s="1"/>
      <c r="EL1994" s="1"/>
      <c r="EM1994" s="1"/>
      <c r="EN1994" s="1"/>
      <c r="EO1994" s="1"/>
      <c r="EP1994" s="1"/>
      <c r="EQ1994" s="1"/>
      <c r="ER1994" s="1"/>
      <c r="ES1994" s="1"/>
      <c r="ET1994" s="1"/>
      <c r="EU1994" s="1"/>
      <c r="EV1994" s="1"/>
      <c r="EW1994" s="1"/>
      <c r="EX1994" s="1"/>
      <c r="EY1994" s="1"/>
      <c r="EZ1994" s="1"/>
      <c r="FA1994" s="1"/>
      <c r="FB1994" s="1"/>
      <c r="FC1994" s="1"/>
      <c r="FD1994" s="1"/>
      <c r="FE1994" s="1"/>
      <c r="FF1994" s="1"/>
      <c r="FG1994" s="1"/>
      <c r="FH1994" s="1"/>
      <c r="FI1994" s="1"/>
      <c r="FJ1994" s="1"/>
      <c r="FK1994" s="1"/>
      <c r="FL1994" s="1"/>
      <c r="FM1994" s="1"/>
      <c r="FN1994" s="1"/>
      <c r="FO1994" s="1"/>
      <c r="FP1994" s="1"/>
      <c r="FQ1994" s="1"/>
      <c r="FR1994" s="1"/>
      <c r="FS1994" s="1"/>
      <c r="FT1994" s="1"/>
      <c r="FU1994" s="1"/>
      <c r="FV1994" s="1"/>
      <c r="FW1994" s="1"/>
      <c r="FX1994" s="1"/>
      <c r="FY1994" s="1"/>
      <c r="FZ1994" s="1"/>
      <c r="GA1994" s="1"/>
      <c r="GB1994" s="1"/>
      <c r="GC1994" s="1"/>
      <c r="GD1994" s="1"/>
      <c r="GE1994" s="1"/>
      <c r="GF1994" s="1"/>
      <c r="GG1994" s="1"/>
      <c r="GH1994" s="1"/>
      <c r="GI1994" s="1"/>
      <c r="GJ1994" s="1"/>
      <c r="GK1994" s="1"/>
      <c r="GL1994" s="1"/>
      <c r="GM1994" s="1"/>
      <c r="GN1994" s="1"/>
      <c r="GO1994" s="1"/>
      <c r="GP1994" s="1"/>
      <c r="GQ1994" s="1"/>
      <c r="GR1994" s="1"/>
      <c r="GS1994" s="1"/>
      <c r="GT1994" s="1"/>
      <c r="GU1994" s="1"/>
      <c r="GV1994" s="1"/>
      <c r="GW1994" s="1"/>
      <c r="GX1994" s="1"/>
      <c r="GY1994" s="1"/>
      <c r="GZ1994" s="1"/>
      <c r="HA1994" s="1"/>
      <c r="HB1994" s="1"/>
      <c r="HC1994" s="1"/>
      <c r="HD1994" s="1"/>
      <c r="HE1994" s="1"/>
      <c r="HF1994" s="1"/>
      <c r="HG1994" s="1"/>
      <c r="HH1994" s="1"/>
    </row>
    <row r="1995" spans="1:216" x14ac:dyDescent="0.3">
      <c r="A1995" s="3"/>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
      <c r="DQ1995" s="1"/>
      <c r="DR1995" s="1"/>
      <c r="DS1995" s="1"/>
      <c r="DT1995" s="1"/>
      <c r="DU1995" s="1"/>
      <c r="DV1995" s="1"/>
      <c r="DW1995" s="1"/>
      <c r="DX1995" s="1"/>
      <c r="DY1995" s="1"/>
      <c r="DZ1995" s="1"/>
      <c r="EA1995" s="1"/>
      <c r="EB1995" s="1"/>
      <c r="EC1995" s="1"/>
      <c r="ED1995" s="1"/>
      <c r="EE1995" s="1"/>
      <c r="EF1995" s="1"/>
      <c r="EG1995" s="1"/>
      <c r="EH1995" s="1"/>
      <c r="EI1995" s="1"/>
      <c r="EJ1995" s="1"/>
      <c r="EK1995" s="1"/>
      <c r="EL1995" s="1"/>
      <c r="EM1995" s="1"/>
      <c r="EN1995" s="1"/>
      <c r="EO1995" s="1"/>
      <c r="EP1995" s="1"/>
      <c r="EQ1995" s="1"/>
      <c r="ER1995" s="1"/>
      <c r="ES1995" s="1"/>
      <c r="ET1995" s="1"/>
      <c r="EU1995" s="1"/>
      <c r="EV1995" s="1"/>
      <c r="EW1995" s="1"/>
      <c r="EX1995" s="1"/>
      <c r="EY1995" s="1"/>
      <c r="EZ1995" s="1"/>
      <c r="FA1995" s="1"/>
      <c r="FB1995" s="1"/>
      <c r="FC1995" s="1"/>
      <c r="FD1995" s="1"/>
      <c r="FE1995" s="1"/>
      <c r="FF1995" s="1"/>
      <c r="FG1995" s="1"/>
      <c r="FH1995" s="1"/>
      <c r="FI1995" s="1"/>
      <c r="FJ1995" s="1"/>
      <c r="FK1995" s="1"/>
      <c r="FL1995" s="1"/>
      <c r="FM1995" s="1"/>
      <c r="FN1995" s="1"/>
      <c r="FO1995" s="1"/>
      <c r="FP1995" s="1"/>
      <c r="FQ1995" s="1"/>
      <c r="FR1995" s="1"/>
      <c r="FS1995" s="1"/>
      <c r="FT1995" s="1"/>
      <c r="FU1995" s="1"/>
      <c r="FV1995" s="1"/>
      <c r="FW1995" s="1"/>
      <c r="FX1995" s="1"/>
      <c r="FY1995" s="1"/>
      <c r="FZ1995" s="1"/>
      <c r="GA1995" s="1"/>
      <c r="GB1995" s="1"/>
      <c r="GC1995" s="1"/>
      <c r="GD1995" s="1"/>
      <c r="GE1995" s="1"/>
      <c r="GF1995" s="1"/>
      <c r="GG1995" s="1"/>
      <c r="GH1995" s="1"/>
      <c r="GI1995" s="1"/>
      <c r="GJ1995" s="1"/>
      <c r="GK1995" s="1"/>
      <c r="GL1995" s="1"/>
      <c r="GM1995" s="1"/>
      <c r="GN1995" s="1"/>
      <c r="GO1995" s="1"/>
      <c r="GP1995" s="1"/>
      <c r="GQ1995" s="1"/>
      <c r="GR1995" s="1"/>
      <c r="GS1995" s="1"/>
      <c r="GT1995" s="1"/>
      <c r="GU1995" s="1"/>
      <c r="GV1995" s="1"/>
      <c r="GW1995" s="1"/>
      <c r="GX1995" s="1"/>
      <c r="GY1995" s="1"/>
      <c r="GZ1995" s="1"/>
      <c r="HA1995" s="1"/>
      <c r="HB1995" s="1"/>
      <c r="HC1995" s="1"/>
      <c r="HD1995" s="1"/>
      <c r="HE1995" s="1"/>
      <c r="HF1995" s="1"/>
      <c r="HG1995" s="1"/>
      <c r="HH1995" s="1"/>
    </row>
    <row r="1996" spans="1:216" x14ac:dyDescent="0.3">
      <c r="A1996" s="3"/>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1"/>
      <c r="EC1996" s="1"/>
      <c r="ED1996" s="1"/>
      <c r="EE1996" s="1"/>
      <c r="EF1996" s="1"/>
      <c r="EG1996" s="1"/>
      <c r="EH1996" s="1"/>
      <c r="EI1996" s="1"/>
      <c r="EJ1996" s="1"/>
      <c r="EK1996" s="1"/>
      <c r="EL1996" s="1"/>
      <c r="EM1996" s="1"/>
      <c r="EN1996" s="1"/>
      <c r="EO1996" s="1"/>
      <c r="EP1996" s="1"/>
      <c r="EQ1996" s="1"/>
      <c r="ER1996" s="1"/>
      <c r="ES1996" s="1"/>
      <c r="ET1996" s="1"/>
      <c r="EU1996" s="1"/>
      <c r="EV1996" s="1"/>
      <c r="EW1996" s="1"/>
      <c r="EX1996" s="1"/>
      <c r="EY1996" s="1"/>
      <c r="EZ1996" s="1"/>
      <c r="FA1996" s="1"/>
      <c r="FB1996" s="1"/>
      <c r="FC1996" s="1"/>
      <c r="FD1996" s="1"/>
      <c r="FE1996" s="1"/>
      <c r="FF1996" s="1"/>
      <c r="FG1996" s="1"/>
      <c r="FH1996" s="1"/>
      <c r="FI1996" s="1"/>
      <c r="FJ1996" s="1"/>
      <c r="FK1996" s="1"/>
      <c r="FL1996" s="1"/>
      <c r="FM1996" s="1"/>
      <c r="FN1996" s="1"/>
      <c r="FO1996" s="1"/>
      <c r="FP1996" s="1"/>
      <c r="FQ1996" s="1"/>
      <c r="FR1996" s="1"/>
      <c r="FS1996" s="1"/>
      <c r="FT1996" s="1"/>
      <c r="FU1996" s="1"/>
      <c r="FV1996" s="1"/>
      <c r="FW1996" s="1"/>
      <c r="FX1996" s="1"/>
      <c r="FY1996" s="1"/>
      <c r="FZ1996" s="1"/>
      <c r="GA1996" s="1"/>
      <c r="GB1996" s="1"/>
      <c r="GC1996" s="1"/>
      <c r="GD1996" s="1"/>
      <c r="GE1996" s="1"/>
      <c r="GF1996" s="1"/>
      <c r="GG1996" s="1"/>
      <c r="GH1996" s="1"/>
      <c r="GI1996" s="1"/>
      <c r="GJ1996" s="1"/>
      <c r="GK1996" s="1"/>
      <c r="GL1996" s="1"/>
      <c r="GM1996" s="1"/>
      <c r="GN1996" s="1"/>
      <c r="GO1996" s="1"/>
      <c r="GP1996" s="1"/>
      <c r="GQ1996" s="1"/>
      <c r="GR1996" s="1"/>
      <c r="GS1996" s="1"/>
      <c r="GT1996" s="1"/>
      <c r="GU1996" s="1"/>
      <c r="GV1996" s="1"/>
      <c r="GW1996" s="1"/>
      <c r="GX1996" s="1"/>
      <c r="GY1996" s="1"/>
      <c r="GZ1996" s="1"/>
      <c r="HA1996" s="1"/>
      <c r="HB1996" s="1"/>
      <c r="HC1996" s="1"/>
      <c r="HD1996" s="1"/>
      <c r="HE1996" s="1"/>
      <c r="HF1996" s="1"/>
      <c r="HG1996" s="1"/>
      <c r="HH1996" s="1"/>
    </row>
    <row r="1997" spans="1:216" x14ac:dyDescent="0.3">
      <c r="A1997" s="3"/>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c r="DM1997" s="1"/>
      <c r="DN1997" s="1"/>
      <c r="DO1997" s="1"/>
      <c r="DP1997" s="1"/>
      <c r="DQ1997" s="1"/>
      <c r="DR1997" s="1"/>
      <c r="DS1997" s="1"/>
      <c r="DT1997" s="1"/>
      <c r="DU1997" s="1"/>
      <c r="DV1997" s="1"/>
      <c r="DW1997" s="1"/>
      <c r="DX1997" s="1"/>
      <c r="DY1997" s="1"/>
      <c r="DZ1997" s="1"/>
      <c r="EA1997" s="1"/>
      <c r="EB1997" s="1"/>
      <c r="EC1997" s="1"/>
      <c r="ED1997" s="1"/>
      <c r="EE1997" s="1"/>
      <c r="EF1997" s="1"/>
      <c r="EG1997" s="1"/>
      <c r="EH1997" s="1"/>
      <c r="EI1997" s="1"/>
      <c r="EJ1997" s="1"/>
      <c r="EK1997" s="1"/>
      <c r="EL1997" s="1"/>
      <c r="EM1997" s="1"/>
      <c r="EN1997" s="1"/>
      <c r="EO1997" s="1"/>
      <c r="EP1997" s="1"/>
      <c r="EQ1997" s="1"/>
      <c r="ER1997" s="1"/>
      <c r="ES1997" s="1"/>
      <c r="ET1997" s="1"/>
      <c r="EU1997" s="1"/>
      <c r="EV1997" s="1"/>
      <c r="EW1997" s="1"/>
      <c r="EX1997" s="1"/>
      <c r="EY1997" s="1"/>
      <c r="EZ1997" s="1"/>
      <c r="FA1997" s="1"/>
      <c r="FB1997" s="1"/>
      <c r="FC1997" s="1"/>
      <c r="FD1997" s="1"/>
      <c r="FE1997" s="1"/>
      <c r="FF1997" s="1"/>
      <c r="FG1997" s="1"/>
      <c r="FH1997" s="1"/>
      <c r="FI1997" s="1"/>
      <c r="FJ1997" s="1"/>
      <c r="FK1997" s="1"/>
      <c r="FL1997" s="1"/>
      <c r="FM1997" s="1"/>
      <c r="FN1997" s="1"/>
      <c r="FO1997" s="1"/>
      <c r="FP1997" s="1"/>
      <c r="FQ1997" s="1"/>
      <c r="FR1997" s="1"/>
      <c r="FS1997" s="1"/>
      <c r="FT1997" s="1"/>
      <c r="FU1997" s="1"/>
      <c r="FV1997" s="1"/>
      <c r="FW1997" s="1"/>
      <c r="FX1997" s="1"/>
      <c r="FY1997" s="1"/>
      <c r="FZ1997" s="1"/>
      <c r="GA1997" s="1"/>
      <c r="GB1997" s="1"/>
      <c r="GC1997" s="1"/>
      <c r="GD1997" s="1"/>
      <c r="GE1997" s="1"/>
      <c r="GF1997" s="1"/>
      <c r="GG1997" s="1"/>
      <c r="GH1997" s="1"/>
      <c r="GI1997" s="1"/>
      <c r="GJ1997" s="1"/>
      <c r="GK1997" s="1"/>
      <c r="GL1997" s="1"/>
      <c r="GM1997" s="1"/>
      <c r="GN1997" s="1"/>
      <c r="GO1997" s="1"/>
      <c r="GP1997" s="1"/>
      <c r="GQ1997" s="1"/>
      <c r="GR1997" s="1"/>
      <c r="GS1997" s="1"/>
      <c r="GT1997" s="1"/>
      <c r="GU1997" s="1"/>
      <c r="GV1997" s="1"/>
      <c r="GW1997" s="1"/>
      <c r="GX1997" s="1"/>
      <c r="GY1997" s="1"/>
      <c r="GZ1997" s="1"/>
      <c r="HA1997" s="1"/>
      <c r="HB1997" s="1"/>
      <c r="HC1997" s="1"/>
      <c r="HD1997" s="1"/>
      <c r="HE1997" s="1"/>
      <c r="HF1997" s="1"/>
      <c r="HG1997" s="1"/>
      <c r="HH1997" s="1"/>
    </row>
    <row r="1998" spans="1:216" x14ac:dyDescent="0.3">
      <c r="A1998" s="3"/>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c r="DU1998" s="1"/>
      <c r="DV1998" s="1"/>
      <c r="DW1998" s="1"/>
      <c r="DX1998" s="1"/>
      <c r="DY1998" s="1"/>
      <c r="DZ1998" s="1"/>
      <c r="EA1998" s="1"/>
      <c r="EB1998" s="1"/>
      <c r="EC1998" s="1"/>
      <c r="ED1998" s="1"/>
      <c r="EE1998" s="1"/>
      <c r="EF1998" s="1"/>
      <c r="EG1998" s="1"/>
      <c r="EH1998" s="1"/>
      <c r="EI1998" s="1"/>
      <c r="EJ1998" s="1"/>
      <c r="EK1998" s="1"/>
      <c r="EL1998" s="1"/>
      <c r="EM1998" s="1"/>
      <c r="EN1998" s="1"/>
      <c r="EO1998" s="1"/>
      <c r="EP1998" s="1"/>
      <c r="EQ1998" s="1"/>
      <c r="ER1998" s="1"/>
      <c r="ES1998" s="1"/>
      <c r="ET1998" s="1"/>
      <c r="EU1998" s="1"/>
      <c r="EV1998" s="1"/>
      <c r="EW1998" s="1"/>
      <c r="EX1998" s="1"/>
      <c r="EY1998" s="1"/>
      <c r="EZ1998" s="1"/>
      <c r="FA1998" s="1"/>
      <c r="FB1998" s="1"/>
      <c r="FC1998" s="1"/>
      <c r="FD1998" s="1"/>
      <c r="FE1998" s="1"/>
      <c r="FF1998" s="1"/>
      <c r="FG1998" s="1"/>
      <c r="FH1998" s="1"/>
      <c r="FI1998" s="1"/>
      <c r="FJ1998" s="1"/>
      <c r="FK1998" s="1"/>
      <c r="FL1998" s="1"/>
      <c r="FM1998" s="1"/>
      <c r="FN1998" s="1"/>
      <c r="FO1998" s="1"/>
      <c r="FP1998" s="1"/>
      <c r="FQ1998" s="1"/>
      <c r="FR1998" s="1"/>
      <c r="FS1998" s="1"/>
      <c r="FT1998" s="1"/>
      <c r="FU1998" s="1"/>
      <c r="FV1998" s="1"/>
      <c r="FW1998" s="1"/>
      <c r="FX1998" s="1"/>
      <c r="FY1998" s="1"/>
      <c r="FZ1998" s="1"/>
      <c r="GA1998" s="1"/>
      <c r="GB1998" s="1"/>
      <c r="GC1998" s="1"/>
      <c r="GD1998" s="1"/>
      <c r="GE1998" s="1"/>
      <c r="GF1998" s="1"/>
      <c r="GG1998" s="1"/>
      <c r="GH1998" s="1"/>
      <c r="GI1998" s="1"/>
      <c r="GJ1998" s="1"/>
      <c r="GK1998" s="1"/>
      <c r="GL1998" s="1"/>
      <c r="GM1998" s="1"/>
      <c r="GN1998" s="1"/>
      <c r="GO1998" s="1"/>
      <c r="GP1998" s="1"/>
      <c r="GQ1998" s="1"/>
      <c r="GR1998" s="1"/>
      <c r="GS1998" s="1"/>
      <c r="GT1998" s="1"/>
      <c r="GU1998" s="1"/>
      <c r="GV1998" s="1"/>
      <c r="GW1998" s="1"/>
      <c r="GX1998" s="1"/>
      <c r="GY1998" s="1"/>
      <c r="GZ1998" s="1"/>
      <c r="HA1998" s="1"/>
      <c r="HB1998" s="1"/>
      <c r="HC1998" s="1"/>
      <c r="HD1998" s="1"/>
      <c r="HE1998" s="1"/>
      <c r="HF1998" s="1"/>
      <c r="HG1998" s="1"/>
      <c r="HH1998" s="1"/>
    </row>
    <row r="1999" spans="1:216" x14ac:dyDescent="0.3">
      <c r="A1999" s="3"/>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
      <c r="DQ1999" s="1"/>
      <c r="DR1999" s="1"/>
      <c r="DS1999" s="1"/>
      <c r="DT1999" s="1"/>
      <c r="DU1999" s="1"/>
      <c r="DV1999" s="1"/>
      <c r="DW1999" s="1"/>
      <c r="DX1999" s="1"/>
      <c r="DY1999" s="1"/>
      <c r="DZ1999" s="1"/>
      <c r="EA1999" s="1"/>
      <c r="EB1999" s="1"/>
      <c r="EC1999" s="1"/>
      <c r="ED1999" s="1"/>
      <c r="EE1999" s="1"/>
      <c r="EF1999" s="1"/>
      <c r="EG1999" s="1"/>
      <c r="EH1999" s="1"/>
      <c r="EI1999" s="1"/>
      <c r="EJ1999" s="1"/>
      <c r="EK1999" s="1"/>
      <c r="EL1999" s="1"/>
      <c r="EM1999" s="1"/>
      <c r="EN1999" s="1"/>
      <c r="EO1999" s="1"/>
      <c r="EP1999" s="1"/>
      <c r="EQ1999" s="1"/>
      <c r="ER1999" s="1"/>
      <c r="ES1999" s="1"/>
      <c r="ET1999" s="1"/>
      <c r="EU1999" s="1"/>
      <c r="EV1999" s="1"/>
      <c r="EW1999" s="1"/>
      <c r="EX1999" s="1"/>
      <c r="EY1999" s="1"/>
      <c r="EZ1999" s="1"/>
      <c r="FA1999" s="1"/>
      <c r="FB1999" s="1"/>
      <c r="FC1999" s="1"/>
      <c r="FD1999" s="1"/>
      <c r="FE1999" s="1"/>
      <c r="FF1999" s="1"/>
      <c r="FG1999" s="1"/>
      <c r="FH1999" s="1"/>
      <c r="FI1999" s="1"/>
      <c r="FJ1999" s="1"/>
      <c r="FK1999" s="1"/>
      <c r="FL1999" s="1"/>
      <c r="FM1999" s="1"/>
      <c r="FN1999" s="1"/>
      <c r="FO1999" s="1"/>
      <c r="FP1999" s="1"/>
      <c r="FQ1999" s="1"/>
      <c r="FR1999" s="1"/>
      <c r="FS1999" s="1"/>
      <c r="FT1999" s="1"/>
      <c r="FU1999" s="1"/>
      <c r="FV1999" s="1"/>
      <c r="FW1999" s="1"/>
      <c r="FX1999" s="1"/>
      <c r="FY1999" s="1"/>
      <c r="FZ1999" s="1"/>
      <c r="GA1999" s="1"/>
      <c r="GB1999" s="1"/>
      <c r="GC1999" s="1"/>
      <c r="GD1999" s="1"/>
      <c r="GE1999" s="1"/>
      <c r="GF1999" s="1"/>
      <c r="GG1999" s="1"/>
      <c r="GH1999" s="1"/>
      <c r="GI1999" s="1"/>
      <c r="GJ1999" s="1"/>
      <c r="GK1999" s="1"/>
      <c r="GL1999" s="1"/>
      <c r="GM1999" s="1"/>
      <c r="GN1999" s="1"/>
      <c r="GO1999" s="1"/>
      <c r="GP1999" s="1"/>
      <c r="GQ1999" s="1"/>
      <c r="GR1999" s="1"/>
      <c r="GS1999" s="1"/>
      <c r="GT1999" s="1"/>
      <c r="GU1999" s="1"/>
      <c r="GV1999" s="1"/>
      <c r="GW1999" s="1"/>
      <c r="GX1999" s="1"/>
      <c r="GY1999" s="1"/>
      <c r="GZ1999" s="1"/>
      <c r="HA1999" s="1"/>
      <c r="HB1999" s="1"/>
      <c r="HC1999" s="1"/>
      <c r="HD1999" s="1"/>
      <c r="HE1999" s="1"/>
      <c r="HF1999" s="1"/>
      <c r="HG1999" s="1"/>
      <c r="HH1999" s="1"/>
    </row>
    <row r="2000" spans="1:216" x14ac:dyDescent="0.3">
      <c r="A2000" s="3"/>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
      <c r="DQ2000" s="1"/>
      <c r="DR2000" s="1"/>
      <c r="DS2000" s="1"/>
      <c r="DT2000" s="1"/>
      <c r="DU2000" s="1"/>
      <c r="DV2000" s="1"/>
      <c r="DW2000" s="1"/>
      <c r="DX2000" s="1"/>
      <c r="DY2000" s="1"/>
      <c r="DZ2000" s="1"/>
      <c r="EA2000" s="1"/>
      <c r="EB2000" s="1"/>
      <c r="EC2000" s="1"/>
      <c r="ED2000" s="1"/>
      <c r="EE2000" s="1"/>
      <c r="EF2000" s="1"/>
      <c r="EG2000" s="1"/>
      <c r="EH2000" s="1"/>
      <c r="EI2000" s="1"/>
      <c r="EJ2000" s="1"/>
      <c r="EK2000" s="1"/>
      <c r="EL2000" s="1"/>
      <c r="EM2000" s="1"/>
      <c r="EN2000" s="1"/>
      <c r="EO2000" s="1"/>
      <c r="EP2000" s="1"/>
      <c r="EQ2000" s="1"/>
      <c r="ER2000" s="1"/>
      <c r="ES2000" s="1"/>
      <c r="ET2000" s="1"/>
      <c r="EU2000" s="1"/>
      <c r="EV2000" s="1"/>
      <c r="EW2000" s="1"/>
      <c r="EX2000" s="1"/>
      <c r="EY2000" s="1"/>
      <c r="EZ2000" s="1"/>
      <c r="FA2000" s="1"/>
      <c r="FB2000" s="1"/>
      <c r="FC2000" s="1"/>
      <c r="FD2000" s="1"/>
      <c r="FE2000" s="1"/>
      <c r="FF2000" s="1"/>
      <c r="FG2000" s="1"/>
      <c r="FH2000" s="1"/>
      <c r="FI2000" s="1"/>
      <c r="FJ2000" s="1"/>
      <c r="FK2000" s="1"/>
      <c r="FL2000" s="1"/>
      <c r="FM2000" s="1"/>
      <c r="FN2000" s="1"/>
      <c r="FO2000" s="1"/>
      <c r="FP2000" s="1"/>
      <c r="FQ2000" s="1"/>
      <c r="FR2000" s="1"/>
      <c r="FS2000" s="1"/>
      <c r="FT2000" s="1"/>
      <c r="FU2000" s="1"/>
      <c r="FV2000" s="1"/>
      <c r="FW2000" s="1"/>
      <c r="FX2000" s="1"/>
      <c r="FY2000" s="1"/>
      <c r="FZ2000" s="1"/>
      <c r="GA2000" s="1"/>
      <c r="GB2000" s="1"/>
      <c r="GC2000" s="1"/>
      <c r="GD2000" s="1"/>
      <c r="GE2000" s="1"/>
      <c r="GF2000" s="1"/>
      <c r="GG2000" s="1"/>
      <c r="GH2000" s="1"/>
      <c r="GI2000" s="1"/>
      <c r="GJ2000" s="1"/>
      <c r="GK2000" s="1"/>
      <c r="GL2000" s="1"/>
      <c r="GM2000" s="1"/>
      <c r="GN2000" s="1"/>
      <c r="GO2000" s="1"/>
      <c r="GP2000" s="1"/>
      <c r="GQ2000" s="1"/>
      <c r="GR2000" s="1"/>
      <c r="GS2000" s="1"/>
      <c r="GT2000" s="1"/>
      <c r="GU2000" s="1"/>
      <c r="GV2000" s="1"/>
      <c r="GW2000" s="1"/>
      <c r="GX2000" s="1"/>
      <c r="GY2000" s="1"/>
      <c r="GZ2000" s="1"/>
      <c r="HA2000" s="1"/>
      <c r="HB2000" s="1"/>
      <c r="HC2000" s="1"/>
      <c r="HD2000" s="1"/>
      <c r="HE2000" s="1"/>
      <c r="HF2000" s="1"/>
      <c r="HG2000" s="1"/>
      <c r="HH2000" s="1"/>
    </row>
  </sheetData>
  <mergeCells count="9">
    <mergeCell ref="CZ1:ET1"/>
    <mergeCell ref="EU1:FK1"/>
    <mergeCell ref="FL1:HF1"/>
    <mergeCell ref="A1:D1"/>
    <mergeCell ref="E1:M1"/>
    <mergeCell ref="N1:V1"/>
    <mergeCell ref="W1:AM1"/>
    <mergeCell ref="AN1:CH1"/>
    <mergeCell ref="CI1:CY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00"/>
  <sheetViews>
    <sheetView workbookViewId="0"/>
  </sheetViews>
  <sheetFormatPr baseColWidth="10" defaultColWidth="8.88671875" defaultRowHeight="14.4" x14ac:dyDescent="0.3"/>
  <sheetData>
    <row r="1" spans="1:12" x14ac:dyDescent="0.3">
      <c r="A1" s="2" t="s">
        <v>1340</v>
      </c>
      <c r="B1" s="2" t="s">
        <v>1341</v>
      </c>
      <c r="C1" s="2" t="s">
        <v>1342</v>
      </c>
      <c r="D1" s="2" t="s">
        <v>1343</v>
      </c>
      <c r="E1" s="2" t="s">
        <v>1344</v>
      </c>
      <c r="F1" s="2" t="s">
        <v>1345</v>
      </c>
      <c r="G1" s="2" t="s">
        <v>1346</v>
      </c>
      <c r="H1" s="2" t="s">
        <v>1347</v>
      </c>
      <c r="I1" s="2" t="s">
        <v>1348</v>
      </c>
      <c r="J1" s="2" t="s">
        <v>1349</v>
      </c>
      <c r="K1" s="2" t="s">
        <v>1350</v>
      </c>
      <c r="L1" s="2" t="s">
        <v>1351</v>
      </c>
    </row>
    <row r="2" spans="1:12" x14ac:dyDescent="0.3">
      <c r="A2" s="3" t="str">
        <f>HYPERLINK("https://www.accessdata.fda.gov/scripts/cder/daf/index.cfm?event=overview.process&amp;varApplNo=213006", "Gemtesa")</f>
        <v>Gemtesa</v>
      </c>
      <c r="B2" t="s">
        <v>1352</v>
      </c>
      <c r="C2" s="1">
        <v>44188</v>
      </c>
      <c r="D2" t="s">
        <v>1353</v>
      </c>
      <c r="E2" s="1">
        <v>44188</v>
      </c>
      <c r="F2" t="s">
        <v>1354</v>
      </c>
      <c r="G2" t="s">
        <v>1355</v>
      </c>
      <c r="H2" t="s">
        <v>1356</v>
      </c>
      <c r="I2" t="s">
        <v>1357</v>
      </c>
      <c r="J2" s="3" t="s">
        <v>1358</v>
      </c>
      <c r="L2" s="1">
        <v>43825</v>
      </c>
    </row>
    <row r="3" spans="1:12" x14ac:dyDescent="0.3">
      <c r="A3" s="3" t="str">
        <f>HYPERLINK("https://www.accessdata.fda.gov/scripts/cder/daf/index.cfm?event=overview.process&amp;varApplNo=761172", "Ebanga")</f>
        <v>Ebanga</v>
      </c>
      <c r="B3" t="s">
        <v>1359</v>
      </c>
      <c r="C3" s="1">
        <v>44186</v>
      </c>
      <c r="D3" t="s">
        <v>1360</v>
      </c>
      <c r="E3" s="1">
        <v>44186</v>
      </c>
      <c r="F3" t="s">
        <v>1354</v>
      </c>
      <c r="G3" t="s">
        <v>1355</v>
      </c>
      <c r="I3" t="s">
        <v>1361</v>
      </c>
      <c r="J3" s="3" t="s">
        <v>1362</v>
      </c>
      <c r="L3" s="1">
        <v>43980</v>
      </c>
    </row>
    <row r="4" spans="1:12" x14ac:dyDescent="0.3">
      <c r="A4" s="3" t="str">
        <f>HYPERLINK("https://www.accessdata.fda.gov/scripts/cder/daf/index.cfm?event=overview.process&amp;varApplNo=214621", "Orgovyx")</f>
        <v>Orgovyx</v>
      </c>
      <c r="B4" t="s">
        <v>1363</v>
      </c>
      <c r="C4" s="1">
        <v>44183</v>
      </c>
      <c r="D4" t="s">
        <v>1364</v>
      </c>
      <c r="E4" s="1">
        <v>44183</v>
      </c>
      <c r="F4" t="s">
        <v>1354</v>
      </c>
      <c r="G4" t="s">
        <v>1355</v>
      </c>
      <c r="H4" t="s">
        <v>1356</v>
      </c>
      <c r="I4" t="s">
        <v>1365</v>
      </c>
      <c r="J4" s="3" t="s">
        <v>1366</v>
      </c>
      <c r="L4" s="1">
        <v>43941</v>
      </c>
    </row>
    <row r="5" spans="1:12" x14ac:dyDescent="0.3">
      <c r="A5" s="3" t="str">
        <f>HYPERLINK("https://www.accessdata.fda.gov/scripts/cder/daf/index.cfm?event=overview.process&amp;varApplNo=761150", "Margenza")</f>
        <v>Margenza</v>
      </c>
      <c r="B5" t="s">
        <v>1367</v>
      </c>
      <c r="C5" s="1">
        <v>44181</v>
      </c>
      <c r="D5" t="s">
        <v>1368</v>
      </c>
      <c r="E5" s="1">
        <v>44181</v>
      </c>
      <c r="F5" t="s">
        <v>1354</v>
      </c>
      <c r="G5" t="s">
        <v>1355</v>
      </c>
      <c r="I5" t="s">
        <v>1282</v>
      </c>
      <c r="J5" s="3" t="s">
        <v>1369</v>
      </c>
      <c r="L5" s="1">
        <v>43817</v>
      </c>
    </row>
    <row r="6" spans="1:12" x14ac:dyDescent="0.3">
      <c r="A6" s="3" t="str">
        <f>HYPERLINK("https://www.accessdata.fda.gov/scripts/cder/daf/index.cfm?event=overview.process&amp;varApplNo=213189", "Klisyri")</f>
        <v>Klisyri</v>
      </c>
      <c r="B6" t="s">
        <v>1370</v>
      </c>
      <c r="C6" s="1">
        <v>44179</v>
      </c>
      <c r="D6" t="s">
        <v>1371</v>
      </c>
      <c r="E6" s="1">
        <v>44179</v>
      </c>
      <c r="F6" t="s">
        <v>1354</v>
      </c>
      <c r="G6" t="s">
        <v>1355</v>
      </c>
      <c r="H6" t="s">
        <v>1356</v>
      </c>
      <c r="I6" t="s">
        <v>1357</v>
      </c>
      <c r="J6" s="3" t="s">
        <v>1372</v>
      </c>
      <c r="L6" s="1">
        <v>43829</v>
      </c>
    </row>
    <row r="7" spans="1:12" x14ac:dyDescent="0.3">
      <c r="A7" s="3" t="str">
        <f>HYPERLINK("https://www.accessdata.fda.gov/scripts/cder/daf/index.cfm?event=overview.process&amp;varApplNo=214094", "Orladeyo")</f>
        <v>Orladeyo</v>
      </c>
      <c r="B7" t="s">
        <v>1373</v>
      </c>
      <c r="C7" s="1">
        <v>44168</v>
      </c>
      <c r="D7" t="s">
        <v>1374</v>
      </c>
      <c r="E7" s="1">
        <v>44168</v>
      </c>
      <c r="F7" t="s">
        <v>1354</v>
      </c>
      <c r="G7" t="s">
        <v>1355</v>
      </c>
      <c r="H7" t="s">
        <v>1356</v>
      </c>
      <c r="I7" t="s">
        <v>1375</v>
      </c>
      <c r="J7" s="3" t="s">
        <v>1376</v>
      </c>
      <c r="L7" s="1" t="s">
        <v>1377</v>
      </c>
    </row>
    <row r="8" spans="1:12" x14ac:dyDescent="0.3">
      <c r="A8" s="3" t="str">
        <f>HYPERLINK("https://www.accessdata.fda.gov/scripts/cder/daf/index.cfm?event=overview.process&amp;varApplNo=212642", "Gallium 68 PSMA-11")</f>
        <v>Gallium 68 PSMA-11</v>
      </c>
      <c r="B8" t="s">
        <v>1378</v>
      </c>
      <c r="C8" s="1">
        <v>44166</v>
      </c>
      <c r="D8" t="s">
        <v>1379</v>
      </c>
      <c r="E8" s="1">
        <v>44166</v>
      </c>
      <c r="F8" t="s">
        <v>1354</v>
      </c>
      <c r="G8" t="s">
        <v>1355</v>
      </c>
      <c r="H8" t="s">
        <v>1356</v>
      </c>
      <c r="I8" t="s">
        <v>1357</v>
      </c>
      <c r="J8" s="3" t="s">
        <v>1380</v>
      </c>
      <c r="L8" s="1">
        <v>43714</v>
      </c>
    </row>
    <row r="9" spans="1:12" x14ac:dyDescent="0.3">
      <c r="A9" s="3" t="str">
        <f>HYPERLINK("https://www.accessdata.fda.gov/scripts/cder/daf/index.cfm?event=overview.process&amp;varApplNo=761171", "Danyelza")</f>
        <v>Danyelza</v>
      </c>
      <c r="B9" t="s">
        <v>1381</v>
      </c>
      <c r="C9" s="1">
        <v>44160</v>
      </c>
      <c r="D9" t="s">
        <v>1382</v>
      </c>
      <c r="E9" s="1">
        <v>44160</v>
      </c>
      <c r="F9" t="s">
        <v>1354</v>
      </c>
      <c r="G9" t="s">
        <v>1355</v>
      </c>
      <c r="I9" t="s">
        <v>1361</v>
      </c>
      <c r="J9" s="3" t="s">
        <v>1383</v>
      </c>
      <c r="L9" s="1" t="s">
        <v>1377</v>
      </c>
    </row>
    <row r="10" spans="1:12" x14ac:dyDescent="0.3">
      <c r="A10" s="3" t="str">
        <f>HYPERLINK("https://www.accessdata.fda.gov/scripts/cder/daf/index.cfm?event=overview.process&amp;varApplNo=213793", "Imcivree")</f>
        <v>Imcivree</v>
      </c>
      <c r="B10" t="s">
        <v>1384</v>
      </c>
      <c r="C10" s="1">
        <v>44160</v>
      </c>
      <c r="D10" t="s">
        <v>1385</v>
      </c>
      <c r="E10" s="1">
        <v>44160</v>
      </c>
      <c r="F10" t="s">
        <v>1354</v>
      </c>
      <c r="G10" t="s">
        <v>1355</v>
      </c>
      <c r="H10" t="s">
        <v>1356</v>
      </c>
      <c r="I10" t="s">
        <v>1386</v>
      </c>
      <c r="J10" s="3" t="s">
        <v>1387</v>
      </c>
      <c r="L10" s="1">
        <v>43917</v>
      </c>
    </row>
    <row r="11" spans="1:12" x14ac:dyDescent="0.3">
      <c r="A11" s="3" t="str">
        <f>HYPERLINK("https://www.accessdata.fda.gov/scripts/cder/daf/index.cfm?event=overview.process&amp;varApplNo=214103", "Oxlumo")</f>
        <v>Oxlumo</v>
      </c>
      <c r="B11" t="s">
        <v>1388</v>
      </c>
      <c r="C11" s="1">
        <v>44158</v>
      </c>
      <c r="D11" t="s">
        <v>1389</v>
      </c>
      <c r="E11" s="1">
        <v>44158</v>
      </c>
      <c r="F11" t="s">
        <v>1354</v>
      </c>
      <c r="G11" t="s">
        <v>1355</v>
      </c>
      <c r="H11" t="s">
        <v>1356</v>
      </c>
      <c r="I11" t="s">
        <v>1386</v>
      </c>
      <c r="J11" s="3" t="s">
        <v>1390</v>
      </c>
      <c r="L11" s="1">
        <v>43924</v>
      </c>
    </row>
    <row r="12" spans="1:12" x14ac:dyDescent="0.3">
      <c r="A12" s="3" t="str">
        <f>HYPERLINK("https://www.accessdata.fda.gov/scripts/cder/daf/index.cfm?event=overview.process&amp;varApplNo=213969", "Zokinvy")</f>
        <v>Zokinvy</v>
      </c>
      <c r="B12" t="s">
        <v>1391</v>
      </c>
      <c r="C12" s="1">
        <v>44155</v>
      </c>
      <c r="D12" t="s">
        <v>1392</v>
      </c>
      <c r="E12" s="1">
        <v>44155</v>
      </c>
      <c r="F12" t="s">
        <v>1354</v>
      </c>
      <c r="G12" t="s">
        <v>1355</v>
      </c>
      <c r="H12" t="s">
        <v>1356</v>
      </c>
      <c r="I12" t="s">
        <v>1386</v>
      </c>
      <c r="J12" s="3" t="s">
        <v>1393</v>
      </c>
      <c r="L12" s="1">
        <v>43910</v>
      </c>
    </row>
    <row r="13" spans="1:12" x14ac:dyDescent="0.3">
      <c r="A13" s="3" t="str">
        <f>HYPERLINK("https://www.accessdata.fda.gov/scripts/cder/daf/index.cfm?event=overview.process&amp;varApplNo=214787", "Veklury")</f>
        <v>Veklury</v>
      </c>
      <c r="B13" t="s">
        <v>1394</v>
      </c>
      <c r="C13" s="1">
        <v>44126</v>
      </c>
      <c r="D13" t="s">
        <v>1395</v>
      </c>
      <c r="E13" s="1">
        <v>44126</v>
      </c>
      <c r="F13" t="s">
        <v>1354</v>
      </c>
      <c r="G13" t="s">
        <v>1355</v>
      </c>
      <c r="H13" t="s">
        <v>1356</v>
      </c>
      <c r="I13" t="s">
        <v>1365</v>
      </c>
      <c r="J13" s="3" t="s">
        <v>1396</v>
      </c>
      <c r="L13" s="1">
        <v>44050</v>
      </c>
    </row>
    <row r="14" spans="1:12" x14ac:dyDescent="0.3">
      <c r="A14" s="3" t="str">
        <f>HYPERLINK("https://www.accessdata.fda.gov/scripts/cder/daf/index.cfm?event=overview.process&amp;varApplNo=761169", "Inmazeb")</f>
        <v>Inmazeb</v>
      </c>
      <c r="B14" t="s">
        <v>1397</v>
      </c>
      <c r="C14" s="1">
        <v>44118</v>
      </c>
      <c r="D14" t="s">
        <v>1398</v>
      </c>
      <c r="E14" s="1">
        <v>44118</v>
      </c>
      <c r="F14" t="s">
        <v>1354</v>
      </c>
      <c r="G14" t="s">
        <v>1355</v>
      </c>
      <c r="I14" t="s">
        <v>1361</v>
      </c>
      <c r="J14" s="3" t="s">
        <v>1399</v>
      </c>
      <c r="L14" s="1">
        <v>43886</v>
      </c>
    </row>
    <row r="15" spans="1:12" x14ac:dyDescent="0.3">
      <c r="A15" s="3" t="str">
        <f>HYPERLINK("https://www.accessdata.fda.gov/scripts/cder/daf/index.cfm?event=overview.process&amp;varApplNo=213721", "Gavreto")</f>
        <v>Gavreto</v>
      </c>
      <c r="B15" t="s">
        <v>1400</v>
      </c>
      <c r="C15" s="1">
        <v>44078</v>
      </c>
      <c r="D15" t="s">
        <v>1401</v>
      </c>
      <c r="E15" s="1">
        <v>44078</v>
      </c>
      <c r="F15" t="s">
        <v>1354</v>
      </c>
      <c r="G15" t="s">
        <v>1355</v>
      </c>
      <c r="H15" t="s">
        <v>1356</v>
      </c>
      <c r="I15" t="s">
        <v>1386</v>
      </c>
      <c r="J15" s="3" t="s">
        <v>1402</v>
      </c>
      <c r="K15" t="s">
        <v>1403</v>
      </c>
      <c r="L15" s="1" t="s">
        <v>1404</v>
      </c>
    </row>
    <row r="16" spans="1:12" x14ac:dyDescent="0.3">
      <c r="A16" s="3" t="str">
        <f>HYPERLINK("https://www.accessdata.fda.gov/scripts/cder/daf/index.cfm?event=overview.process&amp;varApplNo=213227", "Detectnet")</f>
        <v>Detectnet</v>
      </c>
      <c r="B16" t="s">
        <v>1405</v>
      </c>
      <c r="C16" s="1">
        <v>44077</v>
      </c>
      <c r="D16" t="s">
        <v>1406</v>
      </c>
      <c r="E16" s="1">
        <v>44077</v>
      </c>
      <c r="F16" t="s">
        <v>1354</v>
      </c>
      <c r="G16" t="s">
        <v>1355</v>
      </c>
      <c r="H16" t="s">
        <v>1356</v>
      </c>
      <c r="I16" t="s">
        <v>1386</v>
      </c>
      <c r="J16" s="3" t="s">
        <v>1407</v>
      </c>
      <c r="L16" s="1">
        <v>43830</v>
      </c>
    </row>
    <row r="17" spans="1:12" x14ac:dyDescent="0.3">
      <c r="A17" s="3" t="str">
        <f>HYPERLINK("https://www.accessdata.fda.gov/scripts/cder/daf/index.cfm?event=overview.process&amp;varApplNo=761156", "Sogroya")</f>
        <v>Sogroya</v>
      </c>
      <c r="B17" t="s">
        <v>1408</v>
      </c>
      <c r="C17" s="1">
        <v>44071</v>
      </c>
      <c r="D17" t="s">
        <v>1409</v>
      </c>
      <c r="E17" s="1">
        <v>44071</v>
      </c>
      <c r="F17" t="s">
        <v>1354</v>
      </c>
      <c r="G17" t="s">
        <v>1355</v>
      </c>
      <c r="I17" t="s">
        <v>1282</v>
      </c>
      <c r="J17" s="3" t="s">
        <v>1410</v>
      </c>
      <c r="L17" s="1">
        <v>43705</v>
      </c>
    </row>
    <row r="18" spans="1:12" x14ac:dyDescent="0.3">
      <c r="A18" s="3" t="str">
        <f>HYPERLINK("https://www.accessdata.fda.gov/scripts/cder/daf/index.cfm?event=overview.process&amp;varApplNo=213433", "Winlevi")</f>
        <v>Winlevi</v>
      </c>
      <c r="B18" t="s">
        <v>1411</v>
      </c>
      <c r="C18" s="1">
        <v>44069</v>
      </c>
      <c r="D18" t="s">
        <v>1412</v>
      </c>
      <c r="E18" s="1">
        <v>44069</v>
      </c>
      <c r="F18" t="s">
        <v>1354</v>
      </c>
      <c r="G18" t="s">
        <v>1355</v>
      </c>
      <c r="H18" t="s">
        <v>1356</v>
      </c>
      <c r="I18" t="s">
        <v>1357</v>
      </c>
      <c r="J18" s="3" t="s">
        <v>1413</v>
      </c>
      <c r="L18" s="1">
        <v>43696</v>
      </c>
    </row>
    <row r="19" spans="1:12" x14ac:dyDescent="0.3">
      <c r="A19" s="3" t="str">
        <f>HYPERLINK("https://www.accessdata.fda.gov/scripts/cder/daf/index.cfm?event=overview.process&amp;varApplNo=761149", "Enspryng")</f>
        <v>Enspryng</v>
      </c>
      <c r="B19" t="s">
        <v>1414</v>
      </c>
      <c r="C19" s="1">
        <v>44057</v>
      </c>
      <c r="D19" t="s">
        <v>1415</v>
      </c>
      <c r="E19" s="1">
        <v>44057</v>
      </c>
      <c r="F19" t="s">
        <v>1354</v>
      </c>
      <c r="G19" t="s">
        <v>1355</v>
      </c>
      <c r="I19" t="s">
        <v>1361</v>
      </c>
      <c r="J19" s="3" t="s">
        <v>1416</v>
      </c>
      <c r="L19" s="1">
        <v>43692</v>
      </c>
    </row>
    <row r="20" spans="1:12" x14ac:dyDescent="0.3">
      <c r="A20" s="3" t="str">
        <f>HYPERLINK("https://www.accessdata.fda.gov/scripts/cder/daf/index.cfm?event=overview.process&amp;varApplNo=212154", "Viltepso")</f>
        <v>Viltepso</v>
      </c>
      <c r="B20" t="s">
        <v>1417</v>
      </c>
      <c r="C20" s="1">
        <v>44055</v>
      </c>
      <c r="D20" t="s">
        <v>1418</v>
      </c>
      <c r="E20" s="1">
        <v>44055</v>
      </c>
      <c r="F20" t="s">
        <v>1354</v>
      </c>
      <c r="G20" t="s">
        <v>1355</v>
      </c>
      <c r="H20" t="s">
        <v>1356</v>
      </c>
      <c r="I20" t="s">
        <v>1386</v>
      </c>
      <c r="J20" s="3" t="s">
        <v>1419</v>
      </c>
      <c r="L20" s="1">
        <v>43811</v>
      </c>
    </row>
    <row r="21" spans="1:12" x14ac:dyDescent="0.3">
      <c r="A21" s="3" t="str">
        <f>HYPERLINK("https://www.accessdata.fda.gov/scripts/cder/daf/index.cfm?event=overview.process&amp;varApplNo=210730", "Olinvyk")</f>
        <v>Olinvyk</v>
      </c>
      <c r="B21" t="s">
        <v>1420</v>
      </c>
      <c r="C21" s="1">
        <v>44050</v>
      </c>
      <c r="D21" t="s">
        <v>1421</v>
      </c>
      <c r="E21" s="1">
        <v>44050</v>
      </c>
      <c r="F21" t="s">
        <v>1354</v>
      </c>
      <c r="G21" t="s">
        <v>1355</v>
      </c>
      <c r="H21" t="s">
        <v>1356</v>
      </c>
      <c r="I21" t="s">
        <v>1357</v>
      </c>
      <c r="J21" s="3" t="s">
        <v>1422</v>
      </c>
      <c r="L21" s="1">
        <v>43041</v>
      </c>
    </row>
    <row r="22" spans="1:12" x14ac:dyDescent="0.3">
      <c r="A22" s="3" t="str">
        <f>HYPERLINK("https://www.accessdata.fda.gov/scripts/cder/daf/index.cfm?event=overview.process&amp;varApplNo=213535", "Evrysdi")</f>
        <v>Evrysdi</v>
      </c>
      <c r="B22" t="s">
        <v>1423</v>
      </c>
      <c r="C22" s="1">
        <v>44050</v>
      </c>
      <c r="D22" t="s">
        <v>1424</v>
      </c>
      <c r="E22" s="1">
        <v>44050</v>
      </c>
      <c r="F22" t="s">
        <v>1354</v>
      </c>
      <c r="G22" t="s">
        <v>1355</v>
      </c>
      <c r="H22" t="s">
        <v>1356</v>
      </c>
      <c r="I22" t="s">
        <v>1386</v>
      </c>
      <c r="J22" s="3" t="s">
        <v>1425</v>
      </c>
      <c r="L22" s="1">
        <v>43732</v>
      </c>
    </row>
    <row r="23" spans="1:12" x14ac:dyDescent="0.3">
      <c r="A23" s="3" t="str">
        <f>HYPERLINK("https://www.accessdata.fda.gov/scripts/cder/daf/index.cfm?event=overview.process&amp;varApplNo=213464", "Lampit")</f>
        <v>Lampit</v>
      </c>
      <c r="B23" t="s">
        <v>1426</v>
      </c>
      <c r="C23" s="1">
        <v>44049</v>
      </c>
      <c r="D23" t="s">
        <v>1427</v>
      </c>
      <c r="E23" s="1">
        <v>44049</v>
      </c>
      <c r="F23" t="s">
        <v>1354</v>
      </c>
      <c r="G23" t="s">
        <v>1355</v>
      </c>
      <c r="H23" t="s">
        <v>1356</v>
      </c>
      <c r="I23" t="s">
        <v>1386</v>
      </c>
      <c r="J23" s="3" t="s">
        <v>1428</v>
      </c>
      <c r="L23" s="1">
        <v>43805</v>
      </c>
    </row>
    <row r="24" spans="1:12" x14ac:dyDescent="0.3">
      <c r="A24" s="3" t="str">
        <f>HYPERLINK("https://www.accessdata.fda.gov/scripts/cder/daf/index.cfm?event=overview.process&amp;varApplNo=761158", "Blenrep")</f>
        <v>Blenrep</v>
      </c>
      <c r="B24" t="s">
        <v>1429</v>
      </c>
      <c r="C24" s="1">
        <v>44048</v>
      </c>
      <c r="D24" t="s">
        <v>1430</v>
      </c>
      <c r="E24" s="1">
        <v>44048</v>
      </c>
      <c r="F24" t="s">
        <v>1354</v>
      </c>
      <c r="G24" t="s">
        <v>1355</v>
      </c>
      <c r="I24" t="s">
        <v>1361</v>
      </c>
      <c r="J24" s="3" t="s">
        <v>1431</v>
      </c>
      <c r="L24" s="1">
        <v>43804</v>
      </c>
    </row>
    <row r="25" spans="1:12" x14ac:dyDescent="0.3">
      <c r="A25" s="3" t="str">
        <f>HYPERLINK("https://www.accessdata.fda.gov/scripts/cder/daf/index.cfm?event=overview.process&amp;varApplNo=761163", "Monjuvi")</f>
        <v>Monjuvi</v>
      </c>
      <c r="B25" t="s">
        <v>1432</v>
      </c>
      <c r="C25" s="1">
        <v>44043</v>
      </c>
      <c r="D25" t="s">
        <v>1433</v>
      </c>
      <c r="E25" s="1">
        <v>44043</v>
      </c>
      <c r="F25" t="s">
        <v>1354</v>
      </c>
      <c r="G25" t="s">
        <v>1355</v>
      </c>
      <c r="I25" t="s">
        <v>1361</v>
      </c>
      <c r="J25" s="3" t="s">
        <v>1434</v>
      </c>
      <c r="L25" s="1">
        <v>43827</v>
      </c>
    </row>
    <row r="26" spans="1:12" x14ac:dyDescent="0.3">
      <c r="A26" s="3" t="str">
        <f>HYPERLINK("https://www.accessdata.fda.gov/scripts/cder/daf/index.cfm?event=overview.process&amp;ApplNo=206966", "Xeglyze")</f>
        <v>Xeglyze</v>
      </c>
      <c r="B26" t="s">
        <v>1435</v>
      </c>
      <c r="C26" s="1">
        <v>44036</v>
      </c>
      <c r="D26" t="s">
        <v>1436</v>
      </c>
      <c r="E26" s="1">
        <v>44036</v>
      </c>
      <c r="F26" t="s">
        <v>1354</v>
      </c>
      <c r="G26" t="s">
        <v>1355</v>
      </c>
      <c r="H26" t="s">
        <v>1356</v>
      </c>
      <c r="I26" t="s">
        <v>1357</v>
      </c>
      <c r="J26" s="3" t="s">
        <v>1437</v>
      </c>
      <c r="L26" s="1">
        <v>42261</v>
      </c>
    </row>
    <row r="27" spans="1:12" x14ac:dyDescent="0.3">
      <c r="A27" s="3" t="str">
        <f>HYPERLINK("https://www.accessdata.fda.gov/scripts/cder/daf/index.cfm?event=overview.process&amp;varApplNo=212576", "Inqovi")</f>
        <v>Inqovi</v>
      </c>
      <c r="B27" t="s">
        <v>1438</v>
      </c>
      <c r="C27" s="1">
        <v>44019</v>
      </c>
      <c r="D27" t="s">
        <v>1439</v>
      </c>
      <c r="E27" s="1">
        <v>44019</v>
      </c>
      <c r="F27" t="s">
        <v>1354</v>
      </c>
      <c r="G27" t="s">
        <v>1355</v>
      </c>
      <c r="H27" t="s">
        <v>1356</v>
      </c>
      <c r="I27" t="s">
        <v>1386</v>
      </c>
      <c r="J27" s="3" t="s">
        <v>1440</v>
      </c>
      <c r="L27" s="1">
        <v>43810</v>
      </c>
    </row>
    <row r="28" spans="1:12" x14ac:dyDescent="0.3">
      <c r="A28" s="3" t="str">
        <f>HYPERLINK("https://www.accessdata.fda.gov/scripts/cder/daf/index.cfm?event=overview.process&amp;varApplNo=212950", "Rukobia")</f>
        <v>Rukobia</v>
      </c>
      <c r="B28" t="s">
        <v>1441</v>
      </c>
      <c r="C28" s="1">
        <v>44014</v>
      </c>
      <c r="D28" t="s">
        <v>1442</v>
      </c>
      <c r="E28" s="1">
        <v>44014</v>
      </c>
      <c r="F28" t="s">
        <v>1354</v>
      </c>
      <c r="G28" t="s">
        <v>1355</v>
      </c>
      <c r="H28" t="s">
        <v>1356</v>
      </c>
      <c r="I28" t="s">
        <v>1365</v>
      </c>
      <c r="J28" s="3" t="s">
        <v>1443</v>
      </c>
      <c r="L28" s="1">
        <v>43803</v>
      </c>
    </row>
    <row r="29" spans="1:12" x14ac:dyDescent="0.3">
      <c r="A29" s="3" t="str">
        <f>HYPERLINK("https://www.accessdata.fda.gov/scripts/cder/daf/index.cfm?event=overview.process&amp;varApplNo=212295", "Byfavo")</f>
        <v>Byfavo</v>
      </c>
      <c r="B29" t="s">
        <v>1444</v>
      </c>
      <c r="C29" s="1">
        <v>44014</v>
      </c>
      <c r="D29" t="s">
        <v>1445</v>
      </c>
      <c r="E29" s="1">
        <v>44014</v>
      </c>
      <c r="F29" t="s">
        <v>1354</v>
      </c>
      <c r="G29" t="s">
        <v>1355</v>
      </c>
      <c r="H29" t="s">
        <v>1446</v>
      </c>
      <c r="I29" t="s">
        <v>1357</v>
      </c>
      <c r="J29" s="3" t="s">
        <v>1447</v>
      </c>
      <c r="L29" s="1">
        <v>43560</v>
      </c>
    </row>
    <row r="30" spans="1:12" x14ac:dyDescent="0.3">
      <c r="A30" s="3" t="str">
        <f>HYPERLINK("https://www.accessdata.fda.gov/scripts/cder/daf/index.cfm?event=overview.process&amp;varApplNo=213687", "Dojolvi")</f>
        <v>Dojolvi</v>
      </c>
      <c r="B30" t="s">
        <v>1448</v>
      </c>
      <c r="C30" s="1">
        <v>44012</v>
      </c>
      <c r="D30" t="s">
        <v>1449</v>
      </c>
      <c r="E30" s="1">
        <v>44012</v>
      </c>
      <c r="F30" t="s">
        <v>1354</v>
      </c>
      <c r="G30" t="s">
        <v>1355</v>
      </c>
      <c r="H30" t="s">
        <v>1356</v>
      </c>
      <c r="I30" t="s">
        <v>1375</v>
      </c>
      <c r="J30" s="3" t="s">
        <v>1450</v>
      </c>
      <c r="L30" s="1">
        <v>43677</v>
      </c>
    </row>
    <row r="31" spans="1:12" x14ac:dyDescent="0.3">
      <c r="A31" s="3" t="str">
        <f>HYPERLINK("https://www.accessdata.fda.gov/scripts/cder/daf/index.cfm?event=overview.process&amp;varApplNo=213702", "Zepzelca")</f>
        <v>Zepzelca</v>
      </c>
      <c r="B31" t="s">
        <v>1451</v>
      </c>
      <c r="C31" s="1">
        <v>43997</v>
      </c>
      <c r="D31" t="s">
        <v>1452</v>
      </c>
      <c r="E31" s="1">
        <v>43997</v>
      </c>
      <c r="F31" t="s">
        <v>1354</v>
      </c>
      <c r="G31" t="s">
        <v>1355</v>
      </c>
      <c r="H31" t="s">
        <v>1356</v>
      </c>
      <c r="I31" t="s">
        <v>1386</v>
      </c>
      <c r="J31" s="3" t="s">
        <v>1453</v>
      </c>
      <c r="L31" s="1">
        <v>43815</v>
      </c>
    </row>
    <row r="32" spans="1:12" x14ac:dyDescent="0.3">
      <c r="A32" s="3" t="str">
        <f>HYPERLINK("https://www.accessdata.fda.gov/scripts/cder/daf/index.cfm?event=overview.process&amp;varApplNo=761142", "Uplizna")</f>
        <v>Uplizna</v>
      </c>
      <c r="B32" t="s">
        <v>1454</v>
      </c>
      <c r="C32" s="1">
        <v>43993</v>
      </c>
      <c r="D32" t="s">
        <v>1415</v>
      </c>
      <c r="E32" s="1">
        <v>43993</v>
      </c>
      <c r="F32" t="s">
        <v>1354</v>
      </c>
      <c r="G32" t="s">
        <v>1355</v>
      </c>
      <c r="I32" t="s">
        <v>1361</v>
      </c>
      <c r="J32" s="3" t="s">
        <v>1455</v>
      </c>
      <c r="L32" s="1">
        <v>43627</v>
      </c>
    </row>
    <row r="33" spans="1:12" x14ac:dyDescent="0.3">
      <c r="A33" s="3" t="str">
        <f>HYPERLINK("https://www.accessdata.fda.gov/scripts/cder/daf/index.cfm?event=overview.process&amp;varApplNo=212123", "Tauvid")</f>
        <v>Tauvid</v>
      </c>
      <c r="B33" t="s">
        <v>1456</v>
      </c>
      <c r="C33" s="1">
        <v>43979</v>
      </c>
      <c r="D33" t="s">
        <v>1457</v>
      </c>
      <c r="E33" s="1">
        <v>43979</v>
      </c>
      <c r="F33" t="s">
        <v>1354</v>
      </c>
      <c r="G33" t="s">
        <v>1355</v>
      </c>
      <c r="H33" t="s">
        <v>1356</v>
      </c>
      <c r="I33" t="s">
        <v>1365</v>
      </c>
      <c r="J33" s="3" t="s">
        <v>1458</v>
      </c>
      <c r="L33" s="1">
        <v>43737</v>
      </c>
    </row>
    <row r="34" spans="1:12" x14ac:dyDescent="0.3">
      <c r="A34" s="3" t="str">
        <f>HYPERLINK("https://www.accessdata.fda.gov/scripts/cder/daf/index.cfm?event=overview.process&amp;varApplNo=213036", "Artesunate")</f>
        <v>Artesunate</v>
      </c>
      <c r="B34" t="s">
        <v>1459</v>
      </c>
      <c r="C34" s="1">
        <v>43977</v>
      </c>
      <c r="D34" t="s">
        <v>1460</v>
      </c>
      <c r="E34" s="1">
        <v>43977</v>
      </c>
      <c r="F34" t="s">
        <v>1354</v>
      </c>
      <c r="G34" t="s">
        <v>1355</v>
      </c>
      <c r="H34" t="s">
        <v>1356</v>
      </c>
      <c r="I34" t="s">
        <v>1386</v>
      </c>
      <c r="J34" s="3" t="s">
        <v>1461</v>
      </c>
      <c r="L34" s="1">
        <v>43734</v>
      </c>
    </row>
    <row r="35" spans="1:12" x14ac:dyDescent="0.3">
      <c r="A35" s="3" t="str">
        <f>HYPERLINK("https://www.accessdata.fda.gov/scripts/cder/daf/index.cfm?event=overview.process&amp;varApplNo=212155", "Cerianna")</f>
        <v>Cerianna</v>
      </c>
      <c r="B35" t="s">
        <v>1462</v>
      </c>
      <c r="C35" s="1">
        <v>43971</v>
      </c>
      <c r="D35" t="s">
        <v>1463</v>
      </c>
      <c r="E35" s="1">
        <v>43971</v>
      </c>
      <c r="F35" t="s">
        <v>1354</v>
      </c>
      <c r="G35" t="s">
        <v>1355</v>
      </c>
      <c r="H35" t="s">
        <v>1356</v>
      </c>
      <c r="I35" t="s">
        <v>1357</v>
      </c>
      <c r="J35" s="3" t="s">
        <v>1464</v>
      </c>
      <c r="L35" s="1">
        <v>43523</v>
      </c>
    </row>
    <row r="36" spans="1:12" x14ac:dyDescent="0.3">
      <c r="A36" s="3" t="str">
        <f>HYPERLINK("https://www.accessdata.fda.gov/scripts/cder/daf/index.cfm?event=overview.process&amp;varApplNo=213973", "Qinlock")</f>
        <v>Qinlock</v>
      </c>
      <c r="B36" t="s">
        <v>1465</v>
      </c>
      <c r="C36" s="1">
        <v>43966</v>
      </c>
      <c r="D36" t="s">
        <v>1466</v>
      </c>
      <c r="E36" s="1">
        <v>43966</v>
      </c>
      <c r="F36" t="s">
        <v>1354</v>
      </c>
      <c r="G36" t="s">
        <v>1355</v>
      </c>
      <c r="H36" t="s">
        <v>1356</v>
      </c>
      <c r="I36" t="s">
        <v>1386</v>
      </c>
      <c r="J36" s="3" t="s">
        <v>1467</v>
      </c>
      <c r="L36" s="1">
        <v>43812</v>
      </c>
    </row>
    <row r="37" spans="1:12" x14ac:dyDescent="0.3">
      <c r="A37" s="3" t="str">
        <f>HYPERLINK("https://www.accessdata.fda.gov/scripts/cder/daf/index.cfm?event=overview.process&amp;varApplNo=213246", "Retevmo")</f>
        <v>Retevmo</v>
      </c>
      <c r="B37" t="s">
        <v>1468</v>
      </c>
      <c r="C37" s="1">
        <v>43959</v>
      </c>
      <c r="D37" t="s">
        <v>1469</v>
      </c>
      <c r="E37" s="1">
        <v>43959</v>
      </c>
      <c r="F37" t="s">
        <v>1354</v>
      </c>
      <c r="G37" t="s">
        <v>1355</v>
      </c>
      <c r="H37" t="s">
        <v>1356</v>
      </c>
      <c r="I37" t="s">
        <v>1386</v>
      </c>
      <c r="J37" s="3" t="s">
        <v>1470</v>
      </c>
      <c r="L37" s="1">
        <v>43803</v>
      </c>
    </row>
    <row r="38" spans="1:12" x14ac:dyDescent="0.3">
      <c r="A38" s="3" t="str">
        <f>HYPERLINK("https://www.accessdata.fda.gov/scripts/cder/daf/index.cfm?event=overview.process&amp;varApplNo=213591", "Tabrecta")</f>
        <v>Tabrecta</v>
      </c>
      <c r="B38" t="s">
        <v>1471</v>
      </c>
      <c r="C38" s="1">
        <v>43957</v>
      </c>
      <c r="D38" t="s">
        <v>1472</v>
      </c>
      <c r="E38" s="1">
        <v>43957</v>
      </c>
      <c r="F38" t="s">
        <v>1354</v>
      </c>
      <c r="G38" t="s">
        <v>1355</v>
      </c>
      <c r="H38" t="s">
        <v>1356</v>
      </c>
      <c r="I38" t="s">
        <v>1386</v>
      </c>
      <c r="J38" s="3" t="s">
        <v>1473</v>
      </c>
      <c r="L38" s="1">
        <v>43809</v>
      </c>
    </row>
    <row r="39" spans="1:12" x14ac:dyDescent="0.3">
      <c r="A39" s="3" t="str">
        <f>HYPERLINK("https://www.accessdata.fda.gov/scripts/cder/daf/index.cfm?event=overview.process&amp;varApplNo=212489", "Ongentys")</f>
        <v>Ongentys</v>
      </c>
      <c r="B39" t="s">
        <v>1474</v>
      </c>
      <c r="C39" s="1">
        <v>43945</v>
      </c>
      <c r="D39" t="s">
        <v>1475</v>
      </c>
      <c r="E39" s="1">
        <v>43945</v>
      </c>
      <c r="F39" t="s">
        <v>1354</v>
      </c>
      <c r="G39" t="s">
        <v>1355</v>
      </c>
      <c r="H39" t="s">
        <v>1356</v>
      </c>
      <c r="I39" t="s">
        <v>1357</v>
      </c>
      <c r="J39" s="3" t="s">
        <v>1476</v>
      </c>
      <c r="L39" s="1">
        <v>43581</v>
      </c>
    </row>
    <row r="40" spans="1:12" x14ac:dyDescent="0.3">
      <c r="A40" s="3" t="str">
        <f>HYPERLINK("https://www.accessdata.fda.gov/scripts/cder/daf/index.cfm?event=overview.process&amp;varApplNo=761115", "Trodelvy")</f>
        <v>Trodelvy</v>
      </c>
      <c r="B40" t="s">
        <v>1477</v>
      </c>
      <c r="C40" s="1">
        <v>43943</v>
      </c>
      <c r="D40" t="s">
        <v>1478</v>
      </c>
      <c r="E40" s="1">
        <v>43943</v>
      </c>
      <c r="F40" t="s">
        <v>1354</v>
      </c>
      <c r="G40" t="s">
        <v>1355</v>
      </c>
      <c r="I40" t="s">
        <v>1282</v>
      </c>
      <c r="J40" s="3" t="s">
        <v>1479</v>
      </c>
      <c r="L40" s="1">
        <v>43238</v>
      </c>
    </row>
    <row r="41" spans="1:12" x14ac:dyDescent="0.3">
      <c r="A41" s="3" t="str">
        <f>HYPERLINK("https://www.accessdata.fda.gov/scripts/cder/daf/index.cfm?event=overview.process&amp;varApplNo=213736", "Pemazyre")</f>
        <v>Pemazyre</v>
      </c>
      <c r="B41" t="s">
        <v>1480</v>
      </c>
      <c r="C41" s="1">
        <v>43938</v>
      </c>
      <c r="D41" t="s">
        <v>1481</v>
      </c>
      <c r="E41" s="1">
        <v>43938</v>
      </c>
      <c r="F41" t="s">
        <v>1354</v>
      </c>
      <c r="G41" t="s">
        <v>1355</v>
      </c>
      <c r="H41" t="s">
        <v>1356</v>
      </c>
      <c r="I41" t="s">
        <v>1386</v>
      </c>
      <c r="J41" s="3" t="s">
        <v>1482</v>
      </c>
      <c r="L41" s="1">
        <v>43738</v>
      </c>
    </row>
    <row r="42" spans="1:12" x14ac:dyDescent="0.3">
      <c r="A42" s="3" t="str">
        <f>HYPERLINK("https://www.accessdata.fda.gov/scripts/cder/daf/index.cfm?event=overview.process&amp;varApplNo=213411", "Tukysa")</f>
        <v>Tukysa</v>
      </c>
      <c r="B42" t="s">
        <v>1483</v>
      </c>
      <c r="C42" s="1">
        <v>43938</v>
      </c>
      <c r="D42" t="s">
        <v>1484</v>
      </c>
      <c r="E42" s="1">
        <v>43938</v>
      </c>
      <c r="F42" t="s">
        <v>1354</v>
      </c>
      <c r="G42" t="s">
        <v>1355</v>
      </c>
      <c r="H42" t="s">
        <v>1356</v>
      </c>
      <c r="I42" t="s">
        <v>1386</v>
      </c>
      <c r="J42" s="3" t="s">
        <v>1485</v>
      </c>
      <c r="L42" s="1">
        <v>43819</v>
      </c>
    </row>
    <row r="43" spans="1:12" x14ac:dyDescent="0.3">
      <c r="A43" s="3" t="str">
        <f>HYPERLINK("https://www.accessdata.fda.gov/scripts/cder/daf/index.cfm?event=overview.process&amp;varApplNo=213756", "Koselugo")</f>
        <v>Koselugo</v>
      </c>
      <c r="B43" t="s">
        <v>1486</v>
      </c>
      <c r="C43" s="1">
        <v>43931</v>
      </c>
      <c r="D43" t="s">
        <v>1487</v>
      </c>
      <c r="E43" s="1">
        <v>43931</v>
      </c>
      <c r="F43" t="s">
        <v>1354</v>
      </c>
      <c r="G43" t="s">
        <v>1355</v>
      </c>
      <c r="H43" t="s">
        <v>1356</v>
      </c>
      <c r="I43" t="s">
        <v>1386</v>
      </c>
      <c r="J43" s="3" t="s">
        <v>1488</v>
      </c>
      <c r="L43" s="1" t="s">
        <v>1377</v>
      </c>
    </row>
    <row r="44" spans="1:12" x14ac:dyDescent="0.3">
      <c r="A44" s="3" t="str">
        <f>HYPERLINK("https://www.accessdata.fda.gov/scripts/cder/daf/index.cfm?event=overview.process&amp;varApplNo=209899", "Zeposia")</f>
        <v>Zeposia</v>
      </c>
      <c r="B44" t="s">
        <v>1489</v>
      </c>
      <c r="C44" s="1">
        <v>43915</v>
      </c>
      <c r="D44" t="s">
        <v>1490</v>
      </c>
      <c r="E44" s="1">
        <v>43915</v>
      </c>
      <c r="F44" t="s">
        <v>1354</v>
      </c>
      <c r="G44" t="s">
        <v>1355</v>
      </c>
      <c r="H44" t="s">
        <v>1356</v>
      </c>
      <c r="I44" t="s">
        <v>1357</v>
      </c>
      <c r="J44" s="3" t="s">
        <v>1491</v>
      </c>
      <c r="L44" s="1">
        <v>43549</v>
      </c>
    </row>
    <row r="45" spans="1:12" x14ac:dyDescent="0.3">
      <c r="A45" s="3" t="str">
        <f>HYPERLINK("https://www.accessdata.fda.gov/scripts/cder/daf/index.cfm?event=overview.process&amp;varApplNo=212801", "Isturisa")</f>
        <v>Isturisa</v>
      </c>
      <c r="B45" t="s">
        <v>1492</v>
      </c>
      <c r="C45" s="1">
        <v>43896</v>
      </c>
      <c r="D45" t="s">
        <v>1493</v>
      </c>
      <c r="E45" s="1">
        <v>43896</v>
      </c>
      <c r="F45" t="s">
        <v>1354</v>
      </c>
      <c r="G45" t="s">
        <v>1355</v>
      </c>
      <c r="H45" t="s">
        <v>1356</v>
      </c>
      <c r="I45" t="s">
        <v>1375</v>
      </c>
      <c r="J45" s="3" t="s">
        <v>1494</v>
      </c>
      <c r="L45" s="1">
        <v>43531</v>
      </c>
    </row>
    <row r="46" spans="1:12" x14ac:dyDescent="0.3">
      <c r="A46" s="3" t="str">
        <f>HYPERLINK("https://www.accessdata.fda.gov/scripts/cder/daf/index.cfm?event=overview.process&amp;varApplNo=761113", "Sarclisa")</f>
        <v>Sarclisa</v>
      </c>
      <c r="B46" t="s">
        <v>1495</v>
      </c>
      <c r="C46" s="1">
        <v>43892</v>
      </c>
      <c r="D46" t="s">
        <v>1496</v>
      </c>
      <c r="E46" s="1">
        <v>43892</v>
      </c>
      <c r="F46" t="s">
        <v>1354</v>
      </c>
      <c r="G46" t="s">
        <v>1355</v>
      </c>
      <c r="I46" t="s">
        <v>1361</v>
      </c>
      <c r="J46" s="3" t="s">
        <v>1497</v>
      </c>
      <c r="L46" s="1">
        <v>43585</v>
      </c>
    </row>
    <row r="47" spans="1:12" x14ac:dyDescent="0.3">
      <c r="A47" s="3" t="str">
        <f>HYPERLINK("https://www.accessdata.fda.gov/scripts/cder/daf/index.cfm?event=overview.process&amp;varApplNo=212728", "Nurtec ODT")</f>
        <v>Nurtec ODT</v>
      </c>
      <c r="B47" t="s">
        <v>1498</v>
      </c>
      <c r="C47" s="1">
        <v>43888</v>
      </c>
      <c r="D47" t="s">
        <v>1499</v>
      </c>
      <c r="E47" s="1">
        <v>43888</v>
      </c>
      <c r="F47" t="s">
        <v>1354</v>
      </c>
      <c r="G47" t="s">
        <v>1355</v>
      </c>
      <c r="H47" t="s">
        <v>1356</v>
      </c>
      <c r="I47" t="s">
        <v>1365</v>
      </c>
      <c r="J47" s="3" t="s">
        <v>1500</v>
      </c>
      <c r="L47" s="1">
        <v>43643</v>
      </c>
    </row>
    <row r="48" spans="1:12" x14ac:dyDescent="0.3">
      <c r="A48" s="3" t="str">
        <f>HYPERLINK("https://www.accessdata.fda.gov/scripts/cder/daf/index.cfm?event=overview.process&amp;varApplNo=209510", "Barhemsys")</f>
        <v>Barhemsys</v>
      </c>
      <c r="B48" t="s">
        <v>1501</v>
      </c>
      <c r="C48" s="1">
        <v>43887</v>
      </c>
      <c r="D48" t="s">
        <v>1502</v>
      </c>
      <c r="E48" s="1">
        <v>43887</v>
      </c>
      <c r="F48" t="s">
        <v>1354</v>
      </c>
      <c r="G48" t="s">
        <v>1355</v>
      </c>
      <c r="H48" t="s">
        <v>1356</v>
      </c>
      <c r="I48" t="s">
        <v>1357</v>
      </c>
      <c r="J48" s="3" t="s">
        <v>1503</v>
      </c>
      <c r="L48" s="1">
        <v>43013</v>
      </c>
    </row>
    <row r="49" spans="1:12" x14ac:dyDescent="0.3">
      <c r="A49" s="3" t="str">
        <f>HYPERLINK("https://www.accessdata.fda.gov/scripts/cder/daf/index.cfm?event=overview.process&amp;varApplNo=761119", "Vyepti")</f>
        <v>Vyepti</v>
      </c>
      <c r="B49" t="s">
        <v>1504</v>
      </c>
      <c r="C49" s="1">
        <v>43882</v>
      </c>
      <c r="D49" t="s">
        <v>1505</v>
      </c>
      <c r="E49" s="1">
        <v>43882</v>
      </c>
      <c r="F49" t="s">
        <v>1354</v>
      </c>
      <c r="G49" t="s">
        <v>1355</v>
      </c>
      <c r="I49" t="s">
        <v>1282</v>
      </c>
      <c r="J49" s="3" t="s">
        <v>1506</v>
      </c>
      <c r="L49" s="1">
        <v>43517</v>
      </c>
    </row>
    <row r="50" spans="1:12" x14ac:dyDescent="0.3">
      <c r="A50" s="3" t="str">
        <f>HYPERLINK("https://www.accessdata.fda.gov/scripts/cder/daf/index.cfm?event=overview.process&amp;varApplNo=211616", "Nexletol")</f>
        <v>Nexletol</v>
      </c>
      <c r="B50" t="s">
        <v>1507</v>
      </c>
      <c r="C50" s="1">
        <v>43882</v>
      </c>
      <c r="D50" t="s">
        <v>1508</v>
      </c>
      <c r="E50" s="1">
        <v>43882</v>
      </c>
      <c r="F50" t="s">
        <v>1354</v>
      </c>
      <c r="G50" t="s">
        <v>1355</v>
      </c>
      <c r="H50" t="s">
        <v>1356</v>
      </c>
      <c r="I50" t="s">
        <v>1357</v>
      </c>
      <c r="J50" s="3" t="s">
        <v>1509</v>
      </c>
      <c r="L50" s="1">
        <v>43516</v>
      </c>
    </row>
    <row r="51" spans="1:12" x14ac:dyDescent="0.3">
      <c r="A51" s="3" t="str">
        <f>HYPERLINK("https://www.accessdata.fda.gov/scripts/cder/daf/index.cfm?event=overview.process&amp;varApplNo=211281", "Pizensy")</f>
        <v>Pizensy</v>
      </c>
      <c r="B51" t="s">
        <v>1510</v>
      </c>
      <c r="C51" s="1">
        <v>43873</v>
      </c>
      <c r="D51" t="s">
        <v>1511</v>
      </c>
      <c r="E51" s="1">
        <v>43873</v>
      </c>
      <c r="F51" t="s">
        <v>1354</v>
      </c>
      <c r="G51" t="s">
        <v>1355</v>
      </c>
      <c r="H51" t="s">
        <v>1356</v>
      </c>
      <c r="I51" t="s">
        <v>1357</v>
      </c>
      <c r="J51" s="3" t="s">
        <v>1512</v>
      </c>
      <c r="L51" s="1">
        <v>43425</v>
      </c>
    </row>
    <row r="52" spans="1:12" x14ac:dyDescent="0.3">
      <c r="A52" s="3" t="str">
        <f>HYPERLINK("https://www.accessdata.fda.gov/scripts/cder/daf/index.cfm?event=overview.process&amp;varApplNo=211723", "Tazverik")</f>
        <v>Tazverik</v>
      </c>
      <c r="B52" t="s">
        <v>1513</v>
      </c>
      <c r="C52" s="1">
        <v>43853</v>
      </c>
      <c r="D52" t="s">
        <v>1514</v>
      </c>
      <c r="E52" s="1">
        <v>43853</v>
      </c>
      <c r="F52" t="s">
        <v>1354</v>
      </c>
      <c r="G52" t="s">
        <v>1355</v>
      </c>
      <c r="H52" t="s">
        <v>1356</v>
      </c>
      <c r="I52" t="s">
        <v>1386</v>
      </c>
      <c r="J52" s="3" t="s">
        <v>1515</v>
      </c>
      <c r="L52" s="1">
        <v>43608</v>
      </c>
    </row>
    <row r="53" spans="1:12" x14ac:dyDescent="0.3">
      <c r="A53" s="3" t="str">
        <f>HYPERLINK("https://www.accessdata.fda.gov/scripts/cder/daf/index.cfm?event=overview.process&amp;varApplNo=761143", "Tepezza")</f>
        <v>Tepezza</v>
      </c>
      <c r="B53" t="s">
        <v>1516</v>
      </c>
      <c r="C53" s="1">
        <v>43851</v>
      </c>
      <c r="D53" t="s">
        <v>1517</v>
      </c>
      <c r="E53" s="1">
        <v>43851</v>
      </c>
      <c r="F53" t="s">
        <v>1354</v>
      </c>
      <c r="G53" t="s">
        <v>1355</v>
      </c>
      <c r="I53" t="s">
        <v>1361</v>
      </c>
      <c r="J53" s="3" t="s">
        <v>1518</v>
      </c>
      <c r="L53" s="1">
        <v>43652</v>
      </c>
    </row>
    <row r="54" spans="1:12" x14ac:dyDescent="0.3">
      <c r="A54" s="3" t="str">
        <f>HYPERLINK("https://www.accessdata.fda.gov/scripts/cder/daf/index.cfm?event=overview.process&amp;varApplNo=212608", "Ayvakit")</f>
        <v>Ayvakit</v>
      </c>
      <c r="B54" t="s">
        <v>1519</v>
      </c>
      <c r="C54" s="1">
        <v>43839</v>
      </c>
      <c r="D54" t="s">
        <v>1520</v>
      </c>
      <c r="E54" s="1">
        <v>43839</v>
      </c>
      <c r="F54" t="s">
        <v>1354</v>
      </c>
      <c r="G54" t="s">
        <v>1355</v>
      </c>
      <c r="H54" t="s">
        <v>1356</v>
      </c>
      <c r="I54" t="s">
        <v>1386</v>
      </c>
      <c r="J54" s="3" t="s">
        <v>1521</v>
      </c>
      <c r="L54" s="1">
        <v>43630</v>
      </c>
    </row>
    <row r="55" spans="1:12" x14ac:dyDescent="0.3">
      <c r="A55" s="3" t="str">
        <f>HYPERLINK("https://www.accessdata.fda.gov/scripts/cder/daf/index.cfm?event=overview.process&amp;varApplNo=211765", "Ubrelvy")</f>
        <v>Ubrelvy</v>
      </c>
      <c r="B55" t="s">
        <v>1522</v>
      </c>
      <c r="C55" s="1">
        <v>43822</v>
      </c>
      <c r="D55" t="s">
        <v>1523</v>
      </c>
      <c r="E55" s="1">
        <v>43822</v>
      </c>
      <c r="F55" t="s">
        <v>1354</v>
      </c>
      <c r="G55" t="s">
        <v>1355</v>
      </c>
      <c r="H55" t="s">
        <v>1356</v>
      </c>
      <c r="I55" t="s">
        <v>1357</v>
      </c>
      <c r="J55" s="3" t="s">
        <v>1524</v>
      </c>
      <c r="L55" s="1">
        <v>43460</v>
      </c>
    </row>
    <row r="56" spans="1:12" x14ac:dyDescent="0.3">
      <c r="A56" s="3" t="str">
        <f>HYPERLINK("https://www.accessdata.fda.gov/scripts/cder/daf/index.cfm?event=overview.process&amp;varApplNo=761139", "Enhertu")</f>
        <v>Enhertu</v>
      </c>
      <c r="B56" t="s">
        <v>1525</v>
      </c>
      <c r="C56" s="1">
        <v>43819</v>
      </c>
      <c r="D56" t="s">
        <v>1526</v>
      </c>
      <c r="E56" s="1">
        <v>43819</v>
      </c>
      <c r="F56" t="s">
        <v>1354</v>
      </c>
      <c r="G56" t="s">
        <v>1355</v>
      </c>
      <c r="I56" t="s">
        <v>1282</v>
      </c>
      <c r="J56" s="3" t="s">
        <v>1527</v>
      </c>
      <c r="L56" s="1">
        <v>43706</v>
      </c>
    </row>
    <row r="57" spans="1:12" x14ac:dyDescent="0.3">
      <c r="A57" s="3" t="str">
        <f>HYPERLINK("https://www.accessdata.fda.gov/scripts/cder/daf/index.cfm?event=overview.process&amp;varApplNo=212028", "Dayvigo")</f>
        <v>Dayvigo</v>
      </c>
      <c r="B57" t="s">
        <v>1528</v>
      </c>
      <c r="C57" s="1">
        <v>43819</v>
      </c>
      <c r="D57" t="s">
        <v>1529</v>
      </c>
      <c r="E57" s="1">
        <v>43819</v>
      </c>
      <c r="F57" t="s">
        <v>1354</v>
      </c>
      <c r="G57" t="s">
        <v>1355</v>
      </c>
      <c r="H57" t="s">
        <v>1356</v>
      </c>
      <c r="I57" t="s">
        <v>1357</v>
      </c>
      <c r="J57" s="3" t="s">
        <v>1530</v>
      </c>
      <c r="L57" s="1">
        <v>43461</v>
      </c>
    </row>
    <row r="58" spans="1:12" x14ac:dyDescent="0.3">
      <c r="A58" s="3" t="str">
        <f>HYPERLINK("https://www.accessdata.fda.gov/scripts/cder/daf/index.cfm?event=overview.process&amp;varApplNo=209500", "Caplyta")</f>
        <v>Caplyta</v>
      </c>
      <c r="B58" t="s">
        <v>1531</v>
      </c>
      <c r="C58" s="1">
        <v>43819</v>
      </c>
      <c r="D58" t="s">
        <v>1532</v>
      </c>
      <c r="E58" s="1">
        <v>43819</v>
      </c>
      <c r="F58" t="s">
        <v>1354</v>
      </c>
      <c r="G58" t="s">
        <v>1355</v>
      </c>
      <c r="H58" t="s">
        <v>1356</v>
      </c>
      <c r="I58" t="s">
        <v>1357</v>
      </c>
      <c r="J58" s="3" t="s">
        <v>1533</v>
      </c>
      <c r="K58" t="s">
        <v>1403</v>
      </c>
      <c r="L58" s="1">
        <v>43370</v>
      </c>
    </row>
    <row r="59" spans="1:12" x14ac:dyDescent="0.3">
      <c r="A59" s="3" t="str">
        <f>HYPERLINK("https://www.accessdata.fda.gov/scripts/cder/daf/index.cfm?event=overview.process&amp;varApplNo=209569", "TissueBlue")</f>
        <v>TissueBlue</v>
      </c>
      <c r="B59" t="s">
        <v>1534</v>
      </c>
      <c r="C59" s="1">
        <v>43819</v>
      </c>
      <c r="D59" t="s">
        <v>1535</v>
      </c>
      <c r="E59" s="1">
        <v>43819</v>
      </c>
      <c r="F59" t="s">
        <v>1354</v>
      </c>
      <c r="G59" t="s">
        <v>1355</v>
      </c>
      <c r="H59" t="s">
        <v>1356</v>
      </c>
      <c r="I59" t="s">
        <v>1386</v>
      </c>
      <c r="J59" s="3" t="s">
        <v>1536</v>
      </c>
      <c r="L59" s="1">
        <v>43584</v>
      </c>
    </row>
    <row r="60" spans="1:12" x14ac:dyDescent="0.3">
      <c r="A60" s="3" t="str">
        <f>HYPERLINK("https://www.accessdata.fda.gov/scripts/cder/daf/index.cfm?event=overview.process&amp;varApplNo=761137", "Padcev")</f>
        <v>Padcev</v>
      </c>
      <c r="B60" t="s">
        <v>1537</v>
      </c>
      <c r="C60" s="1">
        <v>43817</v>
      </c>
      <c r="D60" t="s">
        <v>1538</v>
      </c>
      <c r="E60" s="1">
        <v>43817</v>
      </c>
      <c r="F60" t="s">
        <v>1354</v>
      </c>
      <c r="G60" t="s">
        <v>1355</v>
      </c>
      <c r="I60" t="s">
        <v>1282</v>
      </c>
      <c r="J60" s="3" t="s">
        <v>1539</v>
      </c>
      <c r="L60" s="1" t="s">
        <v>1377</v>
      </c>
    </row>
    <row r="61" spans="1:12" x14ac:dyDescent="0.3">
      <c r="A61" s="3" t="str">
        <f>HYPERLINK("https://www.accessdata.fda.gov/scripts/cder/daf/index.cfm?event=overview.process&amp;varApplNo=211970", "Vyondys 53")</f>
        <v>Vyondys 53</v>
      </c>
      <c r="B61" t="s">
        <v>1540</v>
      </c>
      <c r="C61" s="1">
        <v>43811</v>
      </c>
      <c r="D61" t="s">
        <v>1541</v>
      </c>
      <c r="E61" s="1">
        <v>43811</v>
      </c>
      <c r="F61" t="s">
        <v>1354</v>
      </c>
      <c r="G61" t="s">
        <v>1355</v>
      </c>
      <c r="H61" t="s">
        <v>1356</v>
      </c>
      <c r="I61" t="s">
        <v>1386</v>
      </c>
      <c r="J61" s="3" t="s">
        <v>1542</v>
      </c>
      <c r="L61" s="1">
        <v>43453</v>
      </c>
    </row>
    <row r="62" spans="1:12" x14ac:dyDescent="0.3">
      <c r="A62" s="3" t="str">
        <f>HYPERLINK("https://www.accessdata.fda.gov/scripts/cder/daf/index.cfm?event=overview.process&amp;varApplNo=213137", "Oxbryta")</f>
        <v>Oxbryta</v>
      </c>
      <c r="B62" t="s">
        <v>1543</v>
      </c>
      <c r="C62" s="1">
        <v>43794</v>
      </c>
      <c r="D62" t="s">
        <v>1544</v>
      </c>
      <c r="E62" s="1">
        <v>43794</v>
      </c>
      <c r="F62" t="s">
        <v>1354</v>
      </c>
      <c r="G62" t="s">
        <v>1355</v>
      </c>
      <c r="H62" t="s">
        <v>1356</v>
      </c>
      <c r="I62" t="s">
        <v>1386</v>
      </c>
      <c r="J62" s="3" t="s">
        <v>1545</v>
      </c>
      <c r="L62" s="1">
        <v>43642</v>
      </c>
    </row>
    <row r="63" spans="1:12" x14ac:dyDescent="0.3">
      <c r="A63" s="3" t="str">
        <f>HYPERLINK("https://www.accessdata.fda.gov/scripts/cder/daf/index.cfm?event=overview.process&amp;varApplNo=212839", "Xcopri")</f>
        <v>Xcopri</v>
      </c>
      <c r="B63" t="s">
        <v>1546</v>
      </c>
      <c r="C63" s="1">
        <v>43790</v>
      </c>
      <c r="D63" t="s">
        <v>1547</v>
      </c>
      <c r="E63" s="1">
        <v>43790</v>
      </c>
      <c r="F63" t="s">
        <v>1354</v>
      </c>
      <c r="G63" t="s">
        <v>1355</v>
      </c>
      <c r="H63" t="s">
        <v>1356</v>
      </c>
      <c r="I63" t="s">
        <v>1357</v>
      </c>
      <c r="J63" s="3" t="s">
        <v>1548</v>
      </c>
      <c r="L63" s="1">
        <v>43425</v>
      </c>
    </row>
    <row r="64" spans="1:12" x14ac:dyDescent="0.3">
      <c r="A64" s="3" t="str">
        <f>HYPERLINK("https://www.accessdata.fda.gov/scripts/cder/daf/index.cfm?event=overview.process&amp;varApplNo=212194", "Givlaari")</f>
        <v>Givlaari</v>
      </c>
      <c r="B64" t="s">
        <v>1549</v>
      </c>
      <c r="C64" s="1">
        <v>43789</v>
      </c>
      <c r="D64" t="s">
        <v>1550</v>
      </c>
      <c r="E64" s="1">
        <v>43789</v>
      </c>
      <c r="F64" t="s">
        <v>1354</v>
      </c>
      <c r="G64" t="s">
        <v>1355</v>
      </c>
      <c r="H64" t="s">
        <v>1356</v>
      </c>
      <c r="I64" t="s">
        <v>1386</v>
      </c>
      <c r="J64" s="3" t="s">
        <v>1551</v>
      </c>
      <c r="L64" s="1">
        <v>43620</v>
      </c>
    </row>
    <row r="65" spans="1:12" x14ac:dyDescent="0.3">
      <c r="A65" s="3" t="str">
        <f>HYPERLINK("https://www.accessdata.fda.gov/scripts/cder/daf/index.cfm?event=overview.process&amp;varApplNo=761128", "Adakveo")</f>
        <v>Adakveo</v>
      </c>
      <c r="B65" t="s">
        <v>1552</v>
      </c>
      <c r="C65" s="1">
        <v>43784</v>
      </c>
      <c r="D65" t="s">
        <v>1553</v>
      </c>
      <c r="E65" s="1">
        <v>43784</v>
      </c>
      <c r="F65" t="s">
        <v>1354</v>
      </c>
      <c r="G65" t="s">
        <v>1355</v>
      </c>
      <c r="I65" t="s">
        <v>1361</v>
      </c>
      <c r="J65" s="3" t="s">
        <v>1554</v>
      </c>
      <c r="L65" s="1">
        <v>43601</v>
      </c>
    </row>
    <row r="66" spans="1:12" x14ac:dyDescent="0.3">
      <c r="A66" s="3" t="str">
        <f>HYPERLINK("https://www.accessdata.fda.gov/scripts/cder/daf/index.cfm?event=overview.process&amp;varApplNo=209445", "Fetroja")</f>
        <v>Fetroja</v>
      </c>
      <c r="B66" t="s">
        <v>1555</v>
      </c>
      <c r="C66" s="1">
        <v>43783</v>
      </c>
      <c r="D66" t="s">
        <v>1556</v>
      </c>
      <c r="E66" s="1">
        <v>43783</v>
      </c>
      <c r="F66" t="s">
        <v>1354</v>
      </c>
      <c r="G66" t="s">
        <v>1355</v>
      </c>
      <c r="H66" t="s">
        <v>1356</v>
      </c>
      <c r="I66" t="s">
        <v>1365</v>
      </c>
      <c r="J66" s="3" t="s">
        <v>1557</v>
      </c>
      <c r="L66" s="1">
        <v>43448</v>
      </c>
    </row>
    <row r="67" spans="1:12" x14ac:dyDescent="0.3">
      <c r="A67" s="3" t="str">
        <f>HYPERLINK("https://www.accessdata.fda.gov/scripts/cder/daf/index.cfm?event=overview.process&amp;varApplNo=213217", "Brukinsa")</f>
        <v>Brukinsa</v>
      </c>
      <c r="B67" t="s">
        <v>1558</v>
      </c>
      <c r="C67" s="1">
        <v>43783</v>
      </c>
      <c r="D67" t="s">
        <v>1559</v>
      </c>
      <c r="E67" s="1">
        <v>43783</v>
      </c>
      <c r="F67" t="s">
        <v>1354</v>
      </c>
      <c r="G67" t="s">
        <v>1355</v>
      </c>
      <c r="H67" t="s">
        <v>1356</v>
      </c>
      <c r="I67" t="s">
        <v>1386</v>
      </c>
      <c r="J67" s="3" t="s">
        <v>1560</v>
      </c>
      <c r="L67" s="1">
        <v>43643</v>
      </c>
    </row>
    <row r="68" spans="1:12" x14ac:dyDescent="0.3">
      <c r="A68" s="3" t="str">
        <f>HYPERLINK("https://www.accessdata.fda.gov/scripts/cder/daf/index.cfm?event=overview.process&amp;varApplNo=761136", "Reblozyl")</f>
        <v>Reblozyl</v>
      </c>
      <c r="B68" t="s">
        <v>1561</v>
      </c>
      <c r="C68" s="1">
        <v>43777</v>
      </c>
      <c r="D68" t="s">
        <v>1562</v>
      </c>
      <c r="E68" s="1">
        <v>43924</v>
      </c>
      <c r="F68" t="s">
        <v>1563</v>
      </c>
      <c r="G68" t="s">
        <v>1355</v>
      </c>
      <c r="I68" t="s">
        <v>1361</v>
      </c>
      <c r="J68" s="3" t="s">
        <v>1564</v>
      </c>
      <c r="L68" s="1">
        <v>43559</v>
      </c>
    </row>
    <row r="69" spans="1:12" x14ac:dyDescent="0.3">
      <c r="A69" s="3" t="str">
        <f>HYPERLINK("https://www.accessdata.fda.gov/scripts/cder/daf/index.cfm?event=overview.process&amp;varApplNo=212279", "ExEm Foam")</f>
        <v>ExEm Foam</v>
      </c>
      <c r="B69" t="s">
        <v>1565</v>
      </c>
      <c r="C69" s="1">
        <v>43776</v>
      </c>
      <c r="D69" t="s">
        <v>1566</v>
      </c>
      <c r="E69" s="1">
        <v>43776</v>
      </c>
      <c r="F69" t="s">
        <v>1354</v>
      </c>
      <c r="G69" t="s">
        <v>1355</v>
      </c>
      <c r="H69" t="s">
        <v>1356</v>
      </c>
      <c r="I69" t="s">
        <v>1357</v>
      </c>
      <c r="J69" s="3" t="s">
        <v>1567</v>
      </c>
      <c r="L69" s="1">
        <v>43379</v>
      </c>
    </row>
    <row r="70" spans="1:12" x14ac:dyDescent="0.3">
      <c r="A70" s="3" t="str">
        <f>HYPERLINK("https://www.accessdata.fda.gov/scripts/cder/daf/index.cfm?event=overview.process&amp;varApplNo=212273", "Trikafta")</f>
        <v>Trikafta</v>
      </c>
      <c r="B70" t="s">
        <v>1568</v>
      </c>
      <c r="C70" s="1">
        <v>43759</v>
      </c>
      <c r="D70" t="s">
        <v>1569</v>
      </c>
      <c r="E70" s="1">
        <v>43759</v>
      </c>
      <c r="F70" t="s">
        <v>1354</v>
      </c>
      <c r="G70" t="s">
        <v>1355</v>
      </c>
      <c r="H70" t="s">
        <v>1356</v>
      </c>
      <c r="I70" t="s">
        <v>1386</v>
      </c>
      <c r="J70" s="3" t="s">
        <v>1570</v>
      </c>
      <c r="L70" s="1">
        <v>43665</v>
      </c>
    </row>
    <row r="71" spans="1:12" x14ac:dyDescent="0.3">
      <c r="A71" s="3" t="str">
        <f>HYPERLINK("https://www.accessdata.fda.gov/scripts/cder/daf/index.cfm?event=overview.process&amp;varApplNo=211280", "Reyvow")</f>
        <v>Reyvow</v>
      </c>
      <c r="B71" t="s">
        <v>1571</v>
      </c>
      <c r="C71" s="1">
        <v>43749</v>
      </c>
      <c r="D71" t="s">
        <v>1572</v>
      </c>
      <c r="E71" s="1">
        <v>43749</v>
      </c>
      <c r="F71" t="s">
        <v>1354</v>
      </c>
      <c r="G71" t="s">
        <v>1355</v>
      </c>
      <c r="H71" t="s">
        <v>1356</v>
      </c>
      <c r="I71" t="s">
        <v>1357</v>
      </c>
      <c r="J71" s="3" t="s">
        <v>1573</v>
      </c>
      <c r="L71" s="1">
        <v>43384</v>
      </c>
    </row>
    <row r="72" spans="1:12" x14ac:dyDescent="0.3">
      <c r="A72" s="3" t="str">
        <f>HYPERLINK("https://www.accessdata.fda.gov/scripts/cder/daf/index.cfm?event=overview.process&amp;varApplNo=200655", "fluorodopa F 18")</f>
        <v>fluorodopa F 18</v>
      </c>
      <c r="B72" t="s">
        <v>1574</v>
      </c>
      <c r="C72" s="1">
        <v>43748</v>
      </c>
      <c r="D72" t="s">
        <v>1575</v>
      </c>
      <c r="E72" s="1">
        <v>43748</v>
      </c>
      <c r="F72" t="s">
        <v>1354</v>
      </c>
      <c r="G72" t="s">
        <v>1355</v>
      </c>
      <c r="H72" t="s">
        <v>1356</v>
      </c>
      <c r="I72" t="s">
        <v>1357</v>
      </c>
      <c r="J72" s="3" t="s">
        <v>1576</v>
      </c>
      <c r="L72" s="1">
        <v>40115</v>
      </c>
    </row>
    <row r="73" spans="1:12" x14ac:dyDescent="0.3">
      <c r="A73" s="3" t="str">
        <f>HYPERLINK("https://www.accessdata.fda.gov/scripts/cder/daf/index.cfm?event=overview.process&amp;varApplNo=210797", "Scenesse")</f>
        <v>Scenesse</v>
      </c>
      <c r="B73" t="s">
        <v>1577</v>
      </c>
      <c r="C73" s="1">
        <v>43746</v>
      </c>
      <c r="D73" t="s">
        <v>1578</v>
      </c>
      <c r="E73" s="1">
        <v>43746</v>
      </c>
      <c r="F73" t="s">
        <v>1354</v>
      </c>
      <c r="G73" t="s">
        <v>1355</v>
      </c>
      <c r="H73" t="s">
        <v>1356</v>
      </c>
      <c r="I73" t="s">
        <v>1386</v>
      </c>
      <c r="J73" s="3" t="s">
        <v>1579</v>
      </c>
      <c r="L73" s="1">
        <v>43412</v>
      </c>
    </row>
    <row r="74" spans="1:12" x14ac:dyDescent="0.3">
      <c r="A74" s="3" t="str">
        <f>HYPERLINK("https://www.accessdata.fda.gov/scripts/cder/daf/index.cfm?event=overview.process&amp;varApplNo=761125", "Beovu")</f>
        <v>Beovu</v>
      </c>
      <c r="B74" t="s">
        <v>1580</v>
      </c>
      <c r="C74" s="1">
        <v>43745</v>
      </c>
      <c r="D74" t="s">
        <v>1581</v>
      </c>
      <c r="E74" s="1">
        <v>43745</v>
      </c>
      <c r="F74" t="s">
        <v>1354</v>
      </c>
      <c r="G74" t="s">
        <v>1355</v>
      </c>
      <c r="I74" t="s">
        <v>1282</v>
      </c>
      <c r="J74" s="3" t="s">
        <v>1582</v>
      </c>
      <c r="L74" s="1">
        <v>43503</v>
      </c>
    </row>
    <row r="75" spans="1:12" x14ac:dyDescent="0.3">
      <c r="A75" s="3" t="str">
        <f>HYPERLINK("https://www.accessdata.fda.gov/scripts/cder/daf/index.cfm?event=overview.process&amp;varApplNo=211527", "Aklief")</f>
        <v>Aklief</v>
      </c>
      <c r="B75" t="s">
        <v>1583</v>
      </c>
      <c r="C75" s="1">
        <v>43742</v>
      </c>
      <c r="D75" t="s">
        <v>1584</v>
      </c>
      <c r="E75" s="1">
        <v>43742</v>
      </c>
      <c r="F75" t="s">
        <v>1354</v>
      </c>
      <c r="G75" t="s">
        <v>1355</v>
      </c>
      <c r="H75" t="s">
        <v>1356</v>
      </c>
      <c r="I75" t="s">
        <v>1357</v>
      </c>
      <c r="J75" s="3" t="s">
        <v>1585</v>
      </c>
      <c r="L75" s="1">
        <v>43377</v>
      </c>
    </row>
    <row r="76" spans="1:12" x14ac:dyDescent="0.3">
      <c r="A76" s="3" t="str">
        <f>HYPERLINK("https://www.accessdata.fda.gov/scripts/cder/daf/index.cfm?event=overview.process&amp;varApplNo=211801", "Ibsrela")</f>
        <v>Ibsrela</v>
      </c>
      <c r="B76" t="s">
        <v>1586</v>
      </c>
      <c r="C76" s="1">
        <v>43720</v>
      </c>
      <c r="D76" t="s">
        <v>1587</v>
      </c>
      <c r="E76" s="1">
        <v>43720</v>
      </c>
      <c r="F76" t="s">
        <v>1354</v>
      </c>
      <c r="G76" t="s">
        <v>1355</v>
      </c>
      <c r="H76" t="s">
        <v>1356</v>
      </c>
      <c r="I76" t="s">
        <v>1357</v>
      </c>
      <c r="J76" s="3" t="s">
        <v>1588</v>
      </c>
      <c r="L76" s="1">
        <v>43355</v>
      </c>
    </row>
    <row r="77" spans="1:12" x14ac:dyDescent="0.3">
      <c r="A77" s="3" t="str">
        <f>HYPERLINK("https://www.accessdata.fda.gov/scripts/cder/daf/index.cfm?event=overview.process&amp;varApplNo=022075", "Nourianz")</f>
        <v>Nourianz</v>
      </c>
      <c r="B77" t="s">
        <v>1589</v>
      </c>
      <c r="C77" s="1">
        <v>43704</v>
      </c>
      <c r="D77" t="s">
        <v>1590</v>
      </c>
      <c r="E77" s="1">
        <v>43704</v>
      </c>
      <c r="F77" t="s">
        <v>1354</v>
      </c>
      <c r="G77" t="s">
        <v>1355</v>
      </c>
      <c r="H77" t="s">
        <v>1356</v>
      </c>
      <c r="I77" t="s">
        <v>1357</v>
      </c>
      <c r="J77" s="3" t="s">
        <v>1591</v>
      </c>
      <c r="L77" s="1">
        <v>39170</v>
      </c>
    </row>
    <row r="78" spans="1:12" x14ac:dyDescent="0.3">
      <c r="A78" s="3" t="str">
        <f>HYPERLINK("https://www.accessdata.fda.gov/scripts/cder/daf/index.cfm?event=overview.process&amp;varApplNo=210828", "Ga-68-DOTATOC")</f>
        <v>Ga-68-DOTATOC</v>
      </c>
      <c r="B78" t="s">
        <v>1592</v>
      </c>
      <c r="C78" s="1">
        <v>43698</v>
      </c>
      <c r="D78" t="s">
        <v>1593</v>
      </c>
      <c r="E78" s="1">
        <v>43698</v>
      </c>
      <c r="F78" t="s">
        <v>1354</v>
      </c>
      <c r="G78" t="s">
        <v>1355</v>
      </c>
      <c r="H78" t="s">
        <v>1356</v>
      </c>
      <c r="I78" t="s">
        <v>1375</v>
      </c>
      <c r="J78" s="3" t="s">
        <v>1594</v>
      </c>
      <c r="L78" s="1">
        <v>43243</v>
      </c>
    </row>
    <row r="79" spans="1:12" x14ac:dyDescent="0.3">
      <c r="A79" s="3" t="str">
        <f>HYPERLINK("https://www.accessdata.fda.gov/scripts/cder/daf/index.cfm?event=overview.process&amp;varApplNo=211672", "Xenleta")</f>
        <v>Xenleta</v>
      </c>
      <c r="B79" t="s">
        <v>1595</v>
      </c>
      <c r="C79" s="1">
        <v>43696</v>
      </c>
      <c r="D79" t="s">
        <v>1596</v>
      </c>
      <c r="E79" s="1">
        <v>43696</v>
      </c>
      <c r="F79" t="s">
        <v>1354</v>
      </c>
      <c r="G79" t="s">
        <v>1355</v>
      </c>
      <c r="H79" t="s">
        <v>1356</v>
      </c>
      <c r="I79" t="s">
        <v>1365</v>
      </c>
      <c r="J79" s="3" t="s">
        <v>1597</v>
      </c>
      <c r="L79" s="1">
        <v>43453</v>
      </c>
    </row>
    <row r="80" spans="1:12" x14ac:dyDescent="0.3">
      <c r="A80" s="3" t="str">
        <f>HYPERLINK("https://www.accessdata.fda.gov/scripts/cder/daf/index.cfm?event=overview.process&amp;varApplNo=211675", "Rinvoq")</f>
        <v>Rinvoq</v>
      </c>
      <c r="B80" t="s">
        <v>1598</v>
      </c>
      <c r="C80" s="1">
        <v>43693</v>
      </c>
      <c r="D80" t="s">
        <v>1599</v>
      </c>
      <c r="E80" s="1">
        <v>43693</v>
      </c>
      <c r="F80" t="s">
        <v>1354</v>
      </c>
      <c r="G80" t="s">
        <v>1355</v>
      </c>
      <c r="H80" t="s">
        <v>1356</v>
      </c>
      <c r="I80" t="s">
        <v>1365</v>
      </c>
      <c r="J80" s="3" t="s">
        <v>1600</v>
      </c>
      <c r="L80" s="1">
        <v>43452</v>
      </c>
    </row>
    <row r="81" spans="1:12" x14ac:dyDescent="0.3">
      <c r="A81" s="3" t="str">
        <f>HYPERLINK("https://www.accessdata.fda.gov/scripts/cder/daf/index.cfm?event=overview.process&amp;varApplNo=212327", "Inrebic")</f>
        <v>Inrebic</v>
      </c>
      <c r="B81" t="s">
        <v>1601</v>
      </c>
      <c r="C81" s="1">
        <v>43693</v>
      </c>
      <c r="D81" t="s">
        <v>1602</v>
      </c>
      <c r="E81" s="1">
        <v>43693</v>
      </c>
      <c r="F81" t="s">
        <v>1354</v>
      </c>
      <c r="G81" t="s">
        <v>1355</v>
      </c>
      <c r="H81" t="s">
        <v>1356</v>
      </c>
      <c r="I81" t="s">
        <v>1386</v>
      </c>
      <c r="J81" s="3" t="s">
        <v>1603</v>
      </c>
      <c r="L81" s="1">
        <v>43468</v>
      </c>
    </row>
    <row r="82" spans="1:12" x14ac:dyDescent="0.3">
      <c r="A82" s="3" t="str">
        <f>HYPERLINK("https://www.accessdata.fda.gov/scripts/cder/daf/index.cfm?event=overview.process&amp;varApplNo=212725", "Rozlytrek")</f>
        <v>Rozlytrek</v>
      </c>
      <c r="B82" t="s">
        <v>1604</v>
      </c>
      <c r="C82" s="1">
        <v>43692</v>
      </c>
      <c r="D82" t="s">
        <v>1605</v>
      </c>
      <c r="E82" s="1">
        <v>43692</v>
      </c>
      <c r="F82" t="s">
        <v>1354</v>
      </c>
      <c r="G82" t="s">
        <v>1355</v>
      </c>
      <c r="H82" t="s">
        <v>1356</v>
      </c>
      <c r="I82" t="s">
        <v>1386</v>
      </c>
      <c r="J82" s="3" t="s">
        <v>1606</v>
      </c>
      <c r="L82" s="1">
        <v>43817</v>
      </c>
    </row>
    <row r="83" spans="1:12" x14ac:dyDescent="0.3">
      <c r="A83" s="3" t="str">
        <f>HYPERLINK("https://www.accessdata.fda.gov/scripts/cder/daf/index.cfm?event=overview.process&amp;varApplNo=021115", "Wakix")</f>
        <v>Wakix</v>
      </c>
      <c r="B83" t="s">
        <v>1607</v>
      </c>
      <c r="C83" s="1">
        <v>43691</v>
      </c>
      <c r="D83" t="s">
        <v>1608</v>
      </c>
      <c r="E83" s="1" t="s">
        <v>1609</v>
      </c>
      <c r="F83" t="s">
        <v>1404</v>
      </c>
      <c r="J83" s="3"/>
      <c r="L83" s="1"/>
    </row>
    <row r="84" spans="1:12" x14ac:dyDescent="0.3">
      <c r="A84" s="3" t="str">
        <f>HYPERLINK("https://www.accessdata.fda.gov/scripts/cder/daf/index.cfm?event=overview.process&amp;varApplNo=212862", "pretomanid")</f>
        <v>pretomanid</v>
      </c>
      <c r="B84" t="s">
        <v>1610</v>
      </c>
      <c r="C84" s="1">
        <v>43691</v>
      </c>
      <c r="D84" t="s">
        <v>1611</v>
      </c>
      <c r="E84" s="1">
        <v>43691</v>
      </c>
      <c r="F84" t="s">
        <v>1354</v>
      </c>
      <c r="G84" t="s">
        <v>1355</v>
      </c>
      <c r="H84" t="s">
        <v>1356</v>
      </c>
      <c r="I84" t="s">
        <v>1386</v>
      </c>
      <c r="J84" s="3" t="s">
        <v>1612</v>
      </c>
      <c r="L84" s="1">
        <v>43448</v>
      </c>
    </row>
    <row r="85" spans="1:12" x14ac:dyDescent="0.3">
      <c r="A85" s="3" t="str">
        <f>HYPERLINK("https://www.accessdata.fda.gov/scripts/cder/daf/index.cfm?event=overview.process&amp;varApplNo=211810", "Turalio")</f>
        <v>Turalio</v>
      </c>
      <c r="B85" t="s">
        <v>1613</v>
      </c>
      <c r="C85" s="1">
        <v>43679</v>
      </c>
      <c r="D85" t="s">
        <v>1614</v>
      </c>
      <c r="E85" s="1">
        <v>43679</v>
      </c>
      <c r="F85" t="s">
        <v>1354</v>
      </c>
      <c r="G85" t="s">
        <v>1355</v>
      </c>
      <c r="H85" t="s">
        <v>1356</v>
      </c>
      <c r="I85" t="s">
        <v>1386</v>
      </c>
      <c r="J85" s="3" t="s">
        <v>1615</v>
      </c>
      <c r="L85" s="1">
        <v>43434</v>
      </c>
    </row>
    <row r="86" spans="1:12" x14ac:dyDescent="0.3">
      <c r="A86" s="3" t="str">
        <f>HYPERLINK("https://www.accessdata.fda.gov/scripts/cder/daf/index.cfm?event=overview.process&amp;varApplNo=212099", "Nubeqa")</f>
        <v>Nubeqa</v>
      </c>
      <c r="B86" t="s">
        <v>1616</v>
      </c>
      <c r="C86" s="1">
        <v>43676</v>
      </c>
      <c r="D86" t="s">
        <v>1617</v>
      </c>
      <c r="E86" s="1">
        <v>43676</v>
      </c>
      <c r="F86" t="s">
        <v>1354</v>
      </c>
      <c r="G86" t="s">
        <v>1355</v>
      </c>
      <c r="H86" t="s">
        <v>1356</v>
      </c>
      <c r="I86" t="s">
        <v>1365</v>
      </c>
      <c r="J86" s="3" t="s">
        <v>1618</v>
      </c>
      <c r="L86" s="1">
        <v>43522</v>
      </c>
    </row>
    <row r="87" spans="1:12" x14ac:dyDescent="0.3">
      <c r="A87" s="3" t="str">
        <f>HYPERLINK("https://www.accessdata.fda.gov/scripts/cder/daf/index.cfm?event=overview.process&amp;varApplNo=212320", "Accrufer")</f>
        <v>Accrufer</v>
      </c>
      <c r="B87" t="s">
        <v>1619</v>
      </c>
      <c r="C87" s="1">
        <v>43671</v>
      </c>
      <c r="D87" t="s">
        <v>1620</v>
      </c>
      <c r="E87" s="1">
        <v>43671</v>
      </c>
      <c r="F87" t="s">
        <v>1354</v>
      </c>
      <c r="G87" t="s">
        <v>1355</v>
      </c>
      <c r="H87" t="s">
        <v>1356</v>
      </c>
      <c r="I87" t="s">
        <v>1357</v>
      </c>
      <c r="J87" s="3" t="s">
        <v>1621</v>
      </c>
      <c r="L87" s="1">
        <v>43370</v>
      </c>
    </row>
    <row r="88" spans="1:12" x14ac:dyDescent="0.3">
      <c r="A88" s="3" t="str">
        <f>HYPERLINK("https://www.accessdata.fda.gov/scripts/cder/daf/index.cfm?event=overview.process&amp;varApplNo=212819", "Recarbrio")</f>
        <v>Recarbrio</v>
      </c>
      <c r="B88" t="s">
        <v>1622</v>
      </c>
      <c r="C88" s="1">
        <v>43662</v>
      </c>
      <c r="D88" t="s">
        <v>1623</v>
      </c>
      <c r="E88" s="1">
        <v>43662</v>
      </c>
      <c r="F88" t="s">
        <v>1354</v>
      </c>
      <c r="G88" t="s">
        <v>1355</v>
      </c>
      <c r="H88" t="s">
        <v>1446</v>
      </c>
      <c r="I88" t="s">
        <v>1365</v>
      </c>
      <c r="J88" s="3" t="s">
        <v>1624</v>
      </c>
      <c r="L88" s="1">
        <v>43420</v>
      </c>
    </row>
    <row r="89" spans="1:12" x14ac:dyDescent="0.3">
      <c r="A89" s="3" t="str">
        <f>HYPERLINK("https://www.accessdata.fda.gov/scripts/cder/daf/index.cfm?event=overview.process&amp;varApplNo=212306", "Xpovio")</f>
        <v>Xpovio</v>
      </c>
      <c r="B89" t="s">
        <v>1625</v>
      </c>
      <c r="C89" s="1">
        <v>43649</v>
      </c>
      <c r="D89" t="s">
        <v>1626</v>
      </c>
      <c r="E89" s="1">
        <v>43649</v>
      </c>
      <c r="F89" t="s">
        <v>1354</v>
      </c>
      <c r="G89" t="s">
        <v>1355</v>
      </c>
      <c r="H89" t="s">
        <v>1356</v>
      </c>
      <c r="I89" t="s">
        <v>1386</v>
      </c>
      <c r="J89" s="3" t="s">
        <v>1627</v>
      </c>
      <c r="L89" s="1">
        <v>43317</v>
      </c>
    </row>
    <row r="90" spans="1:12" x14ac:dyDescent="0.3">
      <c r="A90" s="3" t="str">
        <f>HYPERLINK("https://www.accessdata.fda.gov/scripts/cder/daf/index.cfm?event=overview.process&amp;varApplNo=210557", "Vyleesi")</f>
        <v>Vyleesi</v>
      </c>
      <c r="B90" t="s">
        <v>1628</v>
      </c>
      <c r="C90" s="1">
        <v>43272</v>
      </c>
      <c r="D90" t="s">
        <v>1629</v>
      </c>
      <c r="E90" s="1">
        <v>43637</v>
      </c>
      <c r="F90" t="s">
        <v>1354</v>
      </c>
      <c r="G90" t="s">
        <v>1355</v>
      </c>
      <c r="H90" t="s">
        <v>1356</v>
      </c>
      <c r="I90" t="s">
        <v>1357</v>
      </c>
      <c r="J90" s="3" t="s">
        <v>1630</v>
      </c>
      <c r="L90" s="1">
        <v>43182</v>
      </c>
    </row>
    <row r="91" spans="1:12" x14ac:dyDescent="0.3">
      <c r="A91" s="3" t="str">
        <f>HYPERLINK("https://www.accessdata.fda.gov/scripts/cder/daf/index.cfm?event=overview.process&amp;varApplNo=761121", "Polivy")</f>
        <v>Polivy</v>
      </c>
      <c r="B91" t="s">
        <v>1631</v>
      </c>
      <c r="C91" s="1">
        <v>43626</v>
      </c>
      <c r="D91" t="s">
        <v>1632</v>
      </c>
      <c r="E91" s="1">
        <v>43626</v>
      </c>
      <c r="F91" t="s">
        <v>1354</v>
      </c>
      <c r="G91" t="s">
        <v>1355</v>
      </c>
      <c r="I91" t="s">
        <v>1361</v>
      </c>
      <c r="J91" s="3" t="s">
        <v>1633</v>
      </c>
      <c r="L91" s="1">
        <v>43453</v>
      </c>
    </row>
    <row r="92" spans="1:12" x14ac:dyDescent="0.3">
      <c r="A92" s="3" t="str">
        <f>HYPERLINK("https://www.accessdata.fda.gov/scripts/cder/daf/index.cfm?event=overview.process&amp;varApplNo=212526", "Piqray")</f>
        <v>Piqray</v>
      </c>
      <c r="B92" t="s">
        <v>1634</v>
      </c>
      <c r="C92" s="1">
        <v>43609</v>
      </c>
      <c r="D92" t="s">
        <v>1635</v>
      </c>
      <c r="E92" s="1">
        <v>43609</v>
      </c>
      <c r="F92" t="s">
        <v>1354</v>
      </c>
      <c r="G92" t="s">
        <v>1355</v>
      </c>
      <c r="H92" t="s">
        <v>1356</v>
      </c>
      <c r="I92" t="s">
        <v>1365</v>
      </c>
      <c r="J92" s="3" t="s">
        <v>1636</v>
      </c>
      <c r="L92" s="1">
        <v>43452</v>
      </c>
    </row>
    <row r="93" spans="1:12" x14ac:dyDescent="0.3">
      <c r="A93" s="3" t="str">
        <f>HYPERLINK("https://www.accessdata.fda.gov/scripts/cder/daf/index.cfm?event=overview.process&amp;varApplNo=211996", "Vyndaqel")</f>
        <v>Vyndaqel</v>
      </c>
      <c r="B93" t="s">
        <v>1637</v>
      </c>
      <c r="C93" s="1">
        <v>43588</v>
      </c>
      <c r="D93" t="s">
        <v>1638</v>
      </c>
      <c r="E93" s="1">
        <v>43588</v>
      </c>
      <c r="F93" t="s">
        <v>1354</v>
      </c>
      <c r="G93" t="s">
        <v>1355</v>
      </c>
      <c r="H93" t="s">
        <v>1356</v>
      </c>
      <c r="I93" t="s">
        <v>1386</v>
      </c>
      <c r="J93" s="3" t="s">
        <v>1639</v>
      </c>
      <c r="L93" s="1">
        <v>43406</v>
      </c>
    </row>
    <row r="94" spans="1:12" x14ac:dyDescent="0.3">
      <c r="A94" s="3" t="str">
        <f>HYPERLINK("https://www.accessdata.fda.gov/scripts/cder/daf/index.cfm?event=overview.process&amp;varApplNo=761105", "Skyrizi")</f>
        <v>Skyrizi</v>
      </c>
      <c r="B94" t="s">
        <v>1640</v>
      </c>
      <c r="C94" s="1">
        <v>43578</v>
      </c>
      <c r="D94" t="s">
        <v>1641</v>
      </c>
      <c r="E94" s="1">
        <v>43578</v>
      </c>
      <c r="F94" t="s">
        <v>1354</v>
      </c>
      <c r="G94" t="s">
        <v>1355</v>
      </c>
      <c r="I94" t="s">
        <v>1282</v>
      </c>
      <c r="J94" s="3" t="s">
        <v>1642</v>
      </c>
      <c r="L94" s="1">
        <v>43213</v>
      </c>
    </row>
    <row r="95" spans="1:12" x14ac:dyDescent="0.3">
      <c r="A95" s="3" t="str">
        <f>HYPERLINK("https://www.accessdata.fda.gov/scripts/cder/daf/index.cfm?event=overview.process&amp;varApplNo=212018", "Balversa")</f>
        <v>Balversa</v>
      </c>
      <c r="B95" t="s">
        <v>1643</v>
      </c>
      <c r="C95" s="1">
        <v>43567</v>
      </c>
      <c r="D95" t="s">
        <v>1644</v>
      </c>
      <c r="E95" s="1">
        <v>43567</v>
      </c>
      <c r="F95" t="s">
        <v>1354</v>
      </c>
      <c r="G95" t="s">
        <v>1355</v>
      </c>
      <c r="H95" t="s">
        <v>1356</v>
      </c>
      <c r="I95" t="s">
        <v>1365</v>
      </c>
      <c r="J95" s="3" t="s">
        <v>1645</v>
      </c>
      <c r="L95" s="1">
        <v>43361</v>
      </c>
    </row>
    <row r="96" spans="1:12" x14ac:dyDescent="0.3">
      <c r="A96" s="3" t="str">
        <f>HYPERLINK("https://www.accessdata.fda.gov/scripts/cder/daf/index.cfm?event=overview.process&amp;varApplNo=761062", "Evenity")</f>
        <v>Evenity</v>
      </c>
      <c r="B96" t="s">
        <v>1646</v>
      </c>
      <c r="C96" s="1">
        <v>43564</v>
      </c>
      <c r="D96" t="s">
        <v>1647</v>
      </c>
      <c r="E96" s="1">
        <v>43564</v>
      </c>
      <c r="F96" t="s">
        <v>1354</v>
      </c>
      <c r="G96" t="s">
        <v>1355</v>
      </c>
      <c r="I96" t="s">
        <v>1282</v>
      </c>
      <c r="J96" s="3" t="s">
        <v>1648</v>
      </c>
      <c r="L96" s="1">
        <v>42570</v>
      </c>
    </row>
    <row r="97" spans="1:12" x14ac:dyDescent="0.3">
      <c r="A97" s="3" t="str">
        <f>HYPERLINK("https://www.accessdata.fda.gov/scripts/cder/daf/index.cfm?event=overview.process&amp;varApplNo=209884", "Mayzent")</f>
        <v>Mayzent</v>
      </c>
      <c r="B97" t="s">
        <v>1649</v>
      </c>
      <c r="C97" s="1">
        <v>43550</v>
      </c>
      <c r="D97" t="s">
        <v>1650</v>
      </c>
      <c r="E97" s="1">
        <v>43550</v>
      </c>
      <c r="F97" t="s">
        <v>1354</v>
      </c>
      <c r="G97" t="s">
        <v>1355</v>
      </c>
      <c r="H97" t="s">
        <v>1356</v>
      </c>
      <c r="I97" t="s">
        <v>1365</v>
      </c>
      <c r="J97" s="3" t="s">
        <v>1651</v>
      </c>
      <c r="L97" s="1">
        <v>43307</v>
      </c>
    </row>
    <row r="98" spans="1:12" x14ac:dyDescent="0.3">
      <c r="A98" s="3" t="str">
        <f>HYPERLINK("https://www.accessdata.fda.gov/scripts/cder/daf/index.cfm?event=overview.process&amp;varApplNo=211230", "Sunosi")</f>
        <v>Sunosi</v>
      </c>
      <c r="B98" t="s">
        <v>1652</v>
      </c>
      <c r="C98" s="1">
        <v>43544</v>
      </c>
      <c r="D98" t="s">
        <v>1653</v>
      </c>
      <c r="E98" s="1">
        <v>43544</v>
      </c>
      <c r="F98" t="s">
        <v>1354</v>
      </c>
      <c r="G98" t="s">
        <v>1355</v>
      </c>
      <c r="H98" t="s">
        <v>1356</v>
      </c>
      <c r="I98" t="s">
        <v>1375</v>
      </c>
      <c r="J98" s="3" t="s">
        <v>1654</v>
      </c>
      <c r="L98" s="1">
        <v>43089</v>
      </c>
    </row>
    <row r="99" spans="1:12" x14ac:dyDescent="0.3">
      <c r="A99" s="3" t="str">
        <f>HYPERLINK("https://www.accessdata.fda.gov/scripts/cder/daf/index.cfm?event=overview.process&amp;varApplNo=211371", "Zulresso")</f>
        <v>Zulresso</v>
      </c>
      <c r="B99" t="s">
        <v>1655</v>
      </c>
      <c r="C99" s="1">
        <v>43543</v>
      </c>
      <c r="D99" t="s">
        <v>1656</v>
      </c>
      <c r="E99" s="1">
        <v>43543</v>
      </c>
      <c r="F99" t="s">
        <v>1354</v>
      </c>
      <c r="G99" t="s">
        <v>1355</v>
      </c>
      <c r="H99" t="s">
        <v>1356</v>
      </c>
      <c r="I99" t="s">
        <v>1365</v>
      </c>
      <c r="J99" s="3" t="s">
        <v>1657</v>
      </c>
      <c r="L99" s="1">
        <v>43209</v>
      </c>
    </row>
    <row r="100" spans="1:12" x14ac:dyDescent="0.3">
      <c r="A100" s="3" t="str">
        <f>HYPERLINK("https://www.accessdata.fda.gov/scripts/cder/daf/index.cfm?event=overview.process&amp;varApplNo=208711", "Egaten")</f>
        <v>Egaten</v>
      </c>
      <c r="B100" t="s">
        <v>1658</v>
      </c>
      <c r="C100" s="1">
        <v>43509</v>
      </c>
      <c r="D100" t="s">
        <v>1659</v>
      </c>
      <c r="E100" s="1">
        <v>43509</v>
      </c>
      <c r="F100" t="s">
        <v>1354</v>
      </c>
      <c r="G100" t="s">
        <v>1355</v>
      </c>
      <c r="H100" t="s">
        <v>1356</v>
      </c>
      <c r="I100" t="s">
        <v>1386</v>
      </c>
      <c r="J100" s="3" t="s">
        <v>1660</v>
      </c>
      <c r="L100" s="1">
        <v>43265</v>
      </c>
    </row>
    <row r="101" spans="1:12" x14ac:dyDescent="0.3">
      <c r="A101" s="3" t="str">
        <f>HYPERLINK("https://www.accessdata.fda.gov/scripts/cder/daf/index.cfm?event=overview.process&amp;varApplNo=761112", "Cablivi")</f>
        <v>Cablivi</v>
      </c>
      <c r="B101" t="s">
        <v>1661</v>
      </c>
      <c r="C101" s="1">
        <v>43502</v>
      </c>
      <c r="D101" t="s">
        <v>1662</v>
      </c>
      <c r="E101" s="1">
        <v>43502</v>
      </c>
      <c r="F101" t="s">
        <v>1354</v>
      </c>
      <c r="G101" t="s">
        <v>1355</v>
      </c>
      <c r="I101" t="s">
        <v>1361</v>
      </c>
      <c r="J101" s="3" t="s">
        <v>1663</v>
      </c>
      <c r="L101" s="1" t="s">
        <v>1377</v>
      </c>
    </row>
    <row r="102" spans="1:12" x14ac:dyDescent="0.3">
      <c r="A102" s="3" t="str">
        <f>HYPERLINK("https://www.accessdata.fda.gov/scripts/cder/daf/index.cfm?event=overview.process&amp;varApplNo=761085", "Jeuveau")</f>
        <v>Jeuveau</v>
      </c>
      <c r="B102" t="s">
        <v>1664</v>
      </c>
      <c r="C102" s="1">
        <v>43497</v>
      </c>
      <c r="D102" t="s">
        <v>1665</v>
      </c>
      <c r="E102" s="1">
        <v>43497</v>
      </c>
      <c r="F102" t="s">
        <v>1354</v>
      </c>
      <c r="G102" t="s">
        <v>1355</v>
      </c>
      <c r="I102" t="s">
        <v>1282</v>
      </c>
      <c r="J102" s="3" t="s">
        <v>1666</v>
      </c>
      <c r="L102" s="1">
        <v>42870</v>
      </c>
    </row>
    <row r="103" spans="1:12" x14ac:dyDescent="0.3">
      <c r="A103" s="3" t="str">
        <f>HYPERLINK("https://www.accessdata.fda.gov/scripts/cder/daf/index.cfm?event=overview.process&amp;varApplNo=761108", "Ultomiris")</f>
        <v>Ultomiris</v>
      </c>
      <c r="B103" t="s">
        <v>1667</v>
      </c>
      <c r="C103" s="1">
        <v>43455</v>
      </c>
      <c r="D103" t="s">
        <v>1668</v>
      </c>
      <c r="E103" s="1">
        <v>43455</v>
      </c>
      <c r="F103" t="s">
        <v>1354</v>
      </c>
      <c r="G103" t="s">
        <v>1355</v>
      </c>
      <c r="I103" t="s">
        <v>1361</v>
      </c>
      <c r="J103" s="3" t="s">
        <v>1669</v>
      </c>
      <c r="L103" s="1">
        <v>43269</v>
      </c>
    </row>
    <row r="104" spans="1:12" x14ac:dyDescent="0.3">
      <c r="A104" s="3" t="str">
        <f>HYPERLINK("https://www.accessdata.fda.gov/scripts/cder/daf/index.cfm?event=overview.process&amp;varApplNo=761116", "Elzonris")</f>
        <v>Elzonris</v>
      </c>
      <c r="B104" t="s">
        <v>1670</v>
      </c>
      <c r="C104" s="1">
        <v>43455</v>
      </c>
      <c r="D104" t="s">
        <v>1671</v>
      </c>
      <c r="E104" s="1">
        <v>43455</v>
      </c>
      <c r="F104" t="s">
        <v>1354</v>
      </c>
      <c r="G104" t="s">
        <v>1355</v>
      </c>
      <c r="I104" t="s">
        <v>1361</v>
      </c>
      <c r="J104" s="3" t="s">
        <v>1672</v>
      </c>
      <c r="L104" s="1" t="s">
        <v>1404</v>
      </c>
    </row>
    <row r="105" spans="1:12" x14ac:dyDescent="0.3">
      <c r="A105" s="3" t="str">
        <f>HYPERLINK("https://www.accessdata.fda.gov/scripts/cder/daf/index.cfm?event=overview.process&amp;varApplNo=761102", "Asparlas")</f>
        <v>Asparlas</v>
      </c>
      <c r="B105" t="s">
        <v>1673</v>
      </c>
      <c r="C105" s="1">
        <v>43454</v>
      </c>
      <c r="D105" t="s">
        <v>1674</v>
      </c>
      <c r="E105" s="1">
        <v>43454</v>
      </c>
      <c r="F105" t="s">
        <v>1354</v>
      </c>
      <c r="G105" t="s">
        <v>1355</v>
      </c>
      <c r="I105" t="s">
        <v>1361</v>
      </c>
      <c r="J105" s="3" t="s">
        <v>1675</v>
      </c>
      <c r="L105" s="1" t="s">
        <v>1377</v>
      </c>
    </row>
    <row r="106" spans="1:12" x14ac:dyDescent="0.3">
      <c r="A106" s="3" t="str">
        <f>HYPERLINK("https://www.accessdata.fda.gov/scripts/cder/daf/index.cfm?event=overview.process&amp;varApplNo=210166", "Motegrity")</f>
        <v>Motegrity</v>
      </c>
      <c r="B106" t="s">
        <v>1676</v>
      </c>
      <c r="C106" s="1">
        <v>43448</v>
      </c>
      <c r="D106" t="s">
        <v>1677</v>
      </c>
      <c r="E106" s="1">
        <v>43448</v>
      </c>
      <c r="F106" t="s">
        <v>1354</v>
      </c>
      <c r="G106" t="s">
        <v>1355</v>
      </c>
      <c r="H106" t="s">
        <v>1356</v>
      </c>
      <c r="I106" t="s">
        <v>1357</v>
      </c>
      <c r="J106" s="3" t="s">
        <v>1678</v>
      </c>
      <c r="L106" s="1">
        <v>43090</v>
      </c>
    </row>
    <row r="107" spans="1:12" x14ac:dyDescent="0.3">
      <c r="A107" s="3" t="str">
        <f>HYPERLINK("https://www.accessdata.fda.gov/scripts/cder/daf/index.cfm?event=overview.process&amp;varApplNo=211349", "Xospata")</f>
        <v>Xospata</v>
      </c>
      <c r="B107" t="s">
        <v>1679</v>
      </c>
      <c r="C107" s="1">
        <v>43432</v>
      </c>
      <c r="D107" t="s">
        <v>1680</v>
      </c>
      <c r="E107" s="1">
        <v>43432</v>
      </c>
      <c r="F107" t="s">
        <v>1354</v>
      </c>
      <c r="G107" t="s">
        <v>1355</v>
      </c>
      <c r="H107" t="s">
        <v>1356</v>
      </c>
      <c r="I107" t="s">
        <v>1386</v>
      </c>
      <c r="J107" s="3" t="s">
        <v>1681</v>
      </c>
      <c r="L107" s="1">
        <v>43188</v>
      </c>
    </row>
    <row r="108" spans="1:12" x14ac:dyDescent="0.3">
      <c r="A108" s="3" t="str">
        <f>HYPERLINK("https://www.accessdata.fda.gov/scripts/cder/daf/index.cfm?event=overview.process&amp;varApplNo=208078", "Firdapse")</f>
        <v>Firdapse</v>
      </c>
      <c r="B108" t="s">
        <v>1682</v>
      </c>
      <c r="C108" s="1">
        <v>47085</v>
      </c>
      <c r="D108" t="s">
        <v>1683</v>
      </c>
      <c r="E108" s="1">
        <v>43432</v>
      </c>
      <c r="F108" t="s">
        <v>1354</v>
      </c>
      <c r="G108" t="s">
        <v>1355</v>
      </c>
      <c r="H108" t="s">
        <v>1356</v>
      </c>
      <c r="I108" t="s">
        <v>1386</v>
      </c>
      <c r="J108" s="3" t="s">
        <v>1684</v>
      </c>
      <c r="L108" s="1">
        <v>43187</v>
      </c>
    </row>
    <row r="109" spans="1:12" x14ac:dyDescent="0.3">
      <c r="A109" s="3" t="str">
        <f>HYPERLINK("https://www.accessdata.fda.gov/scripts/cder/daf/index.cfm?event=overview.process&amp;varApplNo=210861", "Vitrakvi")</f>
        <v>Vitrakvi</v>
      </c>
      <c r="B109" t="s">
        <v>1685</v>
      </c>
      <c r="C109" s="1">
        <v>43430</v>
      </c>
      <c r="D109" t="s">
        <v>1686</v>
      </c>
      <c r="E109" s="1">
        <v>43430</v>
      </c>
      <c r="F109" t="s">
        <v>1354</v>
      </c>
      <c r="G109" t="s">
        <v>1355</v>
      </c>
      <c r="H109" t="s">
        <v>1356</v>
      </c>
      <c r="I109" t="s">
        <v>1386</v>
      </c>
      <c r="J109" s="3" t="s">
        <v>1687</v>
      </c>
      <c r="L109" s="1">
        <v>43183</v>
      </c>
    </row>
    <row r="110" spans="1:12" x14ac:dyDescent="0.3">
      <c r="A110" s="3" t="str">
        <f>HYPERLINK("https://www.accessdata.fda.gov/scripts/cder/daf/index.cfm?event=overview.process&amp;varApplNo=210656", "Daurismo")</f>
        <v>Daurismo</v>
      </c>
      <c r="B110" t="s">
        <v>1688</v>
      </c>
      <c r="C110" s="1">
        <v>43425</v>
      </c>
      <c r="D110" t="s">
        <v>1689</v>
      </c>
      <c r="E110" s="1">
        <v>43425</v>
      </c>
      <c r="F110" t="s">
        <v>1354</v>
      </c>
      <c r="G110" t="s">
        <v>1355</v>
      </c>
      <c r="H110" t="s">
        <v>1356</v>
      </c>
      <c r="I110" t="s">
        <v>1386</v>
      </c>
      <c r="J110" s="3" t="s">
        <v>1690</v>
      </c>
      <c r="L110" s="1">
        <v>43217</v>
      </c>
    </row>
    <row r="111" spans="1:12" x14ac:dyDescent="0.3">
      <c r="A111" s="3" t="str">
        <f>HYPERLINK("https://www.accessdata.fda.gov/scripts/cder/daf/index.cfm?event=overview.process&amp;varApplNo=761107", "Gamifant")</f>
        <v>Gamifant</v>
      </c>
      <c r="B111" t="s">
        <v>1691</v>
      </c>
      <c r="C111" s="1">
        <v>43424</v>
      </c>
      <c r="D111" t="s">
        <v>1692</v>
      </c>
      <c r="E111" s="1">
        <v>43424</v>
      </c>
      <c r="F111" t="s">
        <v>1354</v>
      </c>
      <c r="G111" t="s">
        <v>1355</v>
      </c>
      <c r="I111" t="s">
        <v>1361</v>
      </c>
      <c r="J111" s="3" t="s">
        <v>1693</v>
      </c>
      <c r="L111" s="1">
        <v>43179</v>
      </c>
    </row>
    <row r="112" spans="1:12" x14ac:dyDescent="0.3">
      <c r="A112" s="3" t="str">
        <f>HYPERLINK("https://www.accessdata.fda.gov/scripts/cder/daf/index.cfm?event=overview.process&amp;varApplNo=210910", "Aemcolo")</f>
        <v>Aemcolo</v>
      </c>
      <c r="B112" t="s">
        <v>1694</v>
      </c>
      <c r="C112" s="1">
        <v>43420</v>
      </c>
      <c r="D112" t="s">
        <v>1695</v>
      </c>
      <c r="E112" s="1">
        <v>43420</v>
      </c>
      <c r="F112" t="s">
        <v>1354</v>
      </c>
      <c r="G112" t="s">
        <v>1355</v>
      </c>
      <c r="H112" t="s">
        <v>1356</v>
      </c>
      <c r="I112" t="s">
        <v>1365</v>
      </c>
      <c r="J112" s="3" t="s">
        <v>1696</v>
      </c>
      <c r="L112" s="1">
        <v>43175</v>
      </c>
    </row>
    <row r="113" spans="1:12" x14ac:dyDescent="0.3">
      <c r="A113" s="3" t="str">
        <f>HYPERLINK("https://www.accessdata.fda.gov/scripts/cder/daf/index.cfm?event=overview.process&amp;varApplNo=210598", "Yupelri")</f>
        <v>Yupelri</v>
      </c>
      <c r="B113" t="s">
        <v>1697</v>
      </c>
      <c r="C113" s="1">
        <v>43413</v>
      </c>
      <c r="D113" t="s">
        <v>1698</v>
      </c>
      <c r="E113" s="1">
        <v>43413</v>
      </c>
      <c r="F113" t="s">
        <v>1354</v>
      </c>
      <c r="G113" t="s">
        <v>1355</v>
      </c>
      <c r="H113" t="s">
        <v>1356</v>
      </c>
      <c r="I113" t="s">
        <v>1357</v>
      </c>
      <c r="J113" s="3" t="s">
        <v>1699</v>
      </c>
      <c r="L113" s="1">
        <v>43049</v>
      </c>
    </row>
    <row r="114" spans="1:12" x14ac:dyDescent="0.3">
      <c r="A114" s="3" t="str">
        <f>HYPERLINK("https://www.accessdata.fda.gov/scripts/cder/daf/index.cfm?event=overview.process&amp;varApplNo=210868", "Lorbrena")</f>
        <v>Lorbrena</v>
      </c>
      <c r="B114" t="s">
        <v>1700</v>
      </c>
      <c r="C114" s="1">
        <v>43406</v>
      </c>
      <c r="D114" t="s">
        <v>1701</v>
      </c>
      <c r="E114" s="1">
        <v>43406</v>
      </c>
      <c r="F114" t="s">
        <v>1354</v>
      </c>
      <c r="G114" t="s">
        <v>1355</v>
      </c>
      <c r="H114" t="s">
        <v>1356</v>
      </c>
      <c r="I114" t="s">
        <v>1386</v>
      </c>
      <c r="J114" s="3" t="s">
        <v>1702</v>
      </c>
      <c r="L114" s="1">
        <v>43074</v>
      </c>
    </row>
    <row r="115" spans="1:12" x14ac:dyDescent="0.3">
      <c r="A115" s="3" t="str">
        <f>HYPERLINK("https://www.accessdata.fda.gov/scripts/cder/daf/index.cfm?event=overview.process&amp;varApplNo=210854", "Xofluza")</f>
        <v>Xofluza</v>
      </c>
      <c r="B115" t="s">
        <v>1703</v>
      </c>
      <c r="C115" s="1">
        <v>43397</v>
      </c>
      <c r="D115" t="s">
        <v>1704</v>
      </c>
      <c r="E115" s="1">
        <v>43397</v>
      </c>
      <c r="F115" t="s">
        <v>1354</v>
      </c>
      <c r="G115" t="s">
        <v>1355</v>
      </c>
      <c r="H115" t="s">
        <v>1356</v>
      </c>
      <c r="I115" t="s">
        <v>1365</v>
      </c>
      <c r="J115" s="3" t="s">
        <v>1705</v>
      </c>
      <c r="L115" s="1">
        <v>43214</v>
      </c>
    </row>
    <row r="116" spans="1:12" x14ac:dyDescent="0.3">
      <c r="A116" s="3" t="str">
        <f>HYPERLINK("https://www.accessdata.fda.gov/scripts/cder/daf/index.cfm?event=overview.process&amp;varApplNo=211651", "Talzenna")</f>
        <v>Talzenna</v>
      </c>
      <c r="B116" t="s">
        <v>1706</v>
      </c>
      <c r="C116" s="1">
        <v>43389</v>
      </c>
      <c r="D116" t="s">
        <v>1707</v>
      </c>
      <c r="E116" s="1">
        <v>43389</v>
      </c>
      <c r="F116" t="s">
        <v>1354</v>
      </c>
      <c r="G116" t="s">
        <v>1355</v>
      </c>
      <c r="H116" t="s">
        <v>1356</v>
      </c>
      <c r="I116" t="s">
        <v>1365</v>
      </c>
      <c r="J116" s="3" t="s">
        <v>1708</v>
      </c>
      <c r="L116" s="1">
        <v>43196</v>
      </c>
    </row>
    <row r="117" spans="1:12" x14ac:dyDescent="0.3">
      <c r="A117" s="3" t="str">
        <f>HYPERLINK("https://www.accessdata.fda.gov/scripts/cder/daf/index.cfm?event=overview.process&amp;varApplNo=211172", "Tegsedi")</f>
        <v>Tegsedi</v>
      </c>
      <c r="B117" t="s">
        <v>1709</v>
      </c>
      <c r="C117" s="1">
        <v>43378</v>
      </c>
      <c r="D117" t="s">
        <v>1710</v>
      </c>
      <c r="E117" s="1">
        <v>43378</v>
      </c>
      <c r="F117" t="s">
        <v>1354</v>
      </c>
      <c r="G117" t="s">
        <v>1355</v>
      </c>
      <c r="H117" t="s">
        <v>1356</v>
      </c>
      <c r="I117" t="s">
        <v>1386</v>
      </c>
      <c r="J117" s="3" t="s">
        <v>1711</v>
      </c>
      <c r="L117" s="1">
        <v>43045</v>
      </c>
    </row>
    <row r="118" spans="1:12" x14ac:dyDescent="0.3">
      <c r="A118" s="3" t="str">
        <f>HYPERLINK("https://www.accessdata.fda.gov/scripts/cder/daf/index.cfm?event=overview.process&amp;varApplNo=761092", "Revcovi")</f>
        <v>Revcovi</v>
      </c>
      <c r="B118" t="s">
        <v>1712</v>
      </c>
      <c r="C118" s="1">
        <v>43378</v>
      </c>
      <c r="D118" t="s">
        <v>1713</v>
      </c>
      <c r="E118" s="1">
        <v>43378</v>
      </c>
      <c r="F118" t="s">
        <v>1354</v>
      </c>
      <c r="G118" t="s">
        <v>1355</v>
      </c>
      <c r="I118" t="s">
        <v>1361</v>
      </c>
      <c r="J118" s="3" t="s">
        <v>1714</v>
      </c>
      <c r="L118" s="1" t="s">
        <v>1377</v>
      </c>
    </row>
    <row r="119" spans="1:12" x14ac:dyDescent="0.3">
      <c r="A119" s="3" t="str">
        <f>HYPERLINK("https://www.accessdata.fda.gov/scripts/cder/daf/index.cfm?event=overview.process&amp;varApplNo=209816", "Nuzyra")</f>
        <v>Nuzyra</v>
      </c>
      <c r="B119" t="s">
        <v>1715</v>
      </c>
      <c r="C119" s="1">
        <v>43375</v>
      </c>
      <c r="D119" t="s">
        <v>1716</v>
      </c>
      <c r="E119" s="1">
        <v>43375</v>
      </c>
      <c r="F119" t="s">
        <v>1354</v>
      </c>
      <c r="G119" t="s">
        <v>1355</v>
      </c>
      <c r="H119" t="s">
        <v>1356</v>
      </c>
      <c r="I119" t="s">
        <v>1365</v>
      </c>
      <c r="J119" s="3" t="s">
        <v>1717</v>
      </c>
      <c r="L119" s="1">
        <v>43133</v>
      </c>
    </row>
    <row r="120" spans="1:12" x14ac:dyDescent="0.3">
      <c r="A120" s="3" t="str">
        <f>HYPERLINK("https://www.accessdata.fda.gov/scripts/cder/daf/index.cfm?event=overview.process&amp;varApplNo=209521", "Seysara")</f>
        <v>Seysara</v>
      </c>
      <c r="B120" t="s">
        <v>1718</v>
      </c>
      <c r="C120" s="1">
        <v>43374</v>
      </c>
      <c r="D120" t="s">
        <v>1719</v>
      </c>
      <c r="E120" s="1">
        <v>43374</v>
      </c>
      <c r="F120" t="s">
        <v>1354</v>
      </c>
      <c r="G120" t="s">
        <v>1355</v>
      </c>
      <c r="H120" t="s">
        <v>1356</v>
      </c>
      <c r="I120" t="s">
        <v>1357</v>
      </c>
      <c r="J120" s="3" t="s">
        <v>1720</v>
      </c>
      <c r="L120" s="1">
        <v>43028</v>
      </c>
    </row>
    <row r="121" spans="1:12" x14ac:dyDescent="0.3">
      <c r="A121" s="3" t="str">
        <f>HYPERLINK("https://www.accessdata.fda.gov/scripts/cder/daf/index.cfm?event=overview.process&amp;varApplNo=761097", "Libtayo")</f>
        <v>Libtayo</v>
      </c>
      <c r="B121" t="s">
        <v>1721</v>
      </c>
      <c r="C121" s="1">
        <v>43371</v>
      </c>
      <c r="D121" t="s">
        <v>1722</v>
      </c>
      <c r="E121" s="1">
        <v>43371</v>
      </c>
      <c r="F121" t="s">
        <v>1354</v>
      </c>
      <c r="G121" t="s">
        <v>1355</v>
      </c>
      <c r="I121" t="s">
        <v>1282</v>
      </c>
      <c r="J121" s="3" t="s">
        <v>1723</v>
      </c>
      <c r="L121" s="1" t="s">
        <v>1377</v>
      </c>
    </row>
    <row r="122" spans="1:12" x14ac:dyDescent="0.3">
      <c r="A122" s="3" t="str">
        <f>HYPERLINK("https://www.accessdata.fda.gov/scripts/cder/daf/index.cfm?event=overview.process&amp;varApplNo=211288", "Vizimpro")</f>
        <v>Vizimpro</v>
      </c>
      <c r="B122" t="s">
        <v>1724</v>
      </c>
      <c r="C122" s="1">
        <v>43370</v>
      </c>
      <c r="D122" t="s">
        <v>1725</v>
      </c>
      <c r="E122" s="1">
        <v>43370</v>
      </c>
      <c r="F122" t="s">
        <v>1354</v>
      </c>
      <c r="G122" t="s">
        <v>1355</v>
      </c>
      <c r="H122" t="s">
        <v>1446</v>
      </c>
      <c r="I122" t="s">
        <v>1386</v>
      </c>
      <c r="J122" s="3" t="s">
        <v>1726</v>
      </c>
      <c r="L122" s="1">
        <v>43131</v>
      </c>
    </row>
    <row r="123" spans="1:12" x14ac:dyDescent="0.3">
      <c r="A123" s="3" t="str">
        <f>HYPERLINK("https://www.accessdata.fda.gov/scripts/cder/daf/index.cfm?event=overview.process&amp;varApplNo=761063", "Emgality")</f>
        <v>Emgality</v>
      </c>
      <c r="B123" t="s">
        <v>1727</v>
      </c>
      <c r="C123" s="1">
        <v>43370</v>
      </c>
      <c r="D123" t="s">
        <v>1505</v>
      </c>
      <c r="E123" s="1">
        <v>43370</v>
      </c>
      <c r="F123" t="s">
        <v>1354</v>
      </c>
      <c r="G123" t="s">
        <v>1355</v>
      </c>
      <c r="I123" t="s">
        <v>1282</v>
      </c>
      <c r="J123" s="3" t="s">
        <v>1728</v>
      </c>
      <c r="L123" s="1">
        <v>43005</v>
      </c>
    </row>
    <row r="124" spans="1:12" x14ac:dyDescent="0.3">
      <c r="A124" s="3" t="str">
        <f>HYPERLINK("https://www.accessdata.fda.gov/scripts/cder/daf/index.cfm?event=overview.process&amp;varApplNo=211155", "Copiktra")</f>
        <v>Copiktra</v>
      </c>
      <c r="B124" t="s">
        <v>1729</v>
      </c>
      <c r="C124" s="1">
        <v>43367</v>
      </c>
      <c r="D124" t="s">
        <v>1730</v>
      </c>
      <c r="E124" s="1">
        <v>43367</v>
      </c>
      <c r="F124" t="s">
        <v>1354</v>
      </c>
      <c r="G124" t="s">
        <v>1355</v>
      </c>
      <c r="H124" t="s">
        <v>1356</v>
      </c>
      <c r="I124" t="s">
        <v>1386</v>
      </c>
      <c r="J124" s="3" t="s">
        <v>1731</v>
      </c>
      <c r="L124" s="1">
        <v>43136</v>
      </c>
    </row>
    <row r="125" spans="1:12" x14ac:dyDescent="0.3">
      <c r="A125" s="3" t="str">
        <f>HYPERLINK("https://www.accessdata.fda.gov/scripts/cder/daf/index.cfm?event=overview.process&amp;varApplNo=761089", "Ajovy")</f>
        <v>Ajovy</v>
      </c>
      <c r="B125" t="s">
        <v>1732</v>
      </c>
      <c r="C125" s="1">
        <v>43357</v>
      </c>
      <c r="D125" t="s">
        <v>1505</v>
      </c>
      <c r="E125" s="1">
        <v>43357</v>
      </c>
      <c r="F125" t="s">
        <v>1354</v>
      </c>
      <c r="G125" t="s">
        <v>1355</v>
      </c>
      <c r="I125" t="s">
        <v>1282</v>
      </c>
      <c r="J125" s="3" t="s">
        <v>1733</v>
      </c>
      <c r="L125" s="1">
        <v>43024</v>
      </c>
    </row>
    <row r="126" spans="1:12" x14ac:dyDescent="0.3">
      <c r="A126" s="3" t="str">
        <f>HYPERLINK("https://www.accessdata.fda.gov/scripts/cder/daf/index.cfm?event=overview.process&amp;varApplNo=761104", "Lumoxiti")</f>
        <v>Lumoxiti</v>
      </c>
      <c r="B126" t="s">
        <v>1734</v>
      </c>
      <c r="C126" s="1">
        <v>43356</v>
      </c>
      <c r="D126" t="s">
        <v>1735</v>
      </c>
      <c r="E126" s="1">
        <v>43356</v>
      </c>
      <c r="F126" t="s">
        <v>1354</v>
      </c>
      <c r="G126" t="s">
        <v>1355</v>
      </c>
      <c r="I126" t="s">
        <v>1361</v>
      </c>
      <c r="J126" s="3" t="s">
        <v>1736</v>
      </c>
      <c r="L126" s="1">
        <v>43129</v>
      </c>
    </row>
    <row r="127" spans="1:12" x14ac:dyDescent="0.3">
      <c r="A127" s="3" t="str">
        <f>HYPERLINK("https://www.accessdata.fda.gov/scripts/cder/daf/index.cfm?event=overview.process&amp;varApplNo=210806", "Pifeltro")</f>
        <v>Pifeltro</v>
      </c>
      <c r="B127" t="s">
        <v>1737</v>
      </c>
      <c r="C127" s="1">
        <v>43342</v>
      </c>
      <c r="D127" t="s">
        <v>1738</v>
      </c>
      <c r="E127" s="1">
        <v>43342</v>
      </c>
      <c r="F127" t="s">
        <v>1354</v>
      </c>
      <c r="G127" t="s">
        <v>1355</v>
      </c>
      <c r="H127" t="s">
        <v>1356</v>
      </c>
      <c r="I127" t="s">
        <v>1357</v>
      </c>
      <c r="J127" s="3" t="s">
        <v>1739</v>
      </c>
      <c r="L127" s="1">
        <v>43031</v>
      </c>
    </row>
    <row r="128" spans="1:12" x14ac:dyDescent="0.3">
      <c r="A128" s="3" t="str">
        <f>HYPERLINK("https://www.accessdata.fda.gov/scripts/cder/daf/index.cfm?event=overview.process&amp;varApplNo=211109", "Xerava")</f>
        <v>Xerava</v>
      </c>
      <c r="B128" t="s">
        <v>1740</v>
      </c>
      <c r="C128" s="1">
        <v>43339</v>
      </c>
      <c r="D128" t="s">
        <v>1741</v>
      </c>
      <c r="E128" s="1">
        <v>43339</v>
      </c>
      <c r="F128" t="s">
        <v>1354</v>
      </c>
      <c r="G128" t="s">
        <v>1355</v>
      </c>
      <c r="H128" t="s">
        <v>1356</v>
      </c>
      <c r="I128" t="s">
        <v>1365</v>
      </c>
      <c r="J128" s="3" t="s">
        <v>1742</v>
      </c>
      <c r="L128" s="1">
        <v>43097</v>
      </c>
    </row>
    <row r="129" spans="1:12" x14ac:dyDescent="0.3">
      <c r="A129" s="3" t="str">
        <f>HYPERLINK("https://www.accessdata.fda.gov/scripts/cder/daf/index.cfm?event=overview.process&amp;varApplNo=761090", "Takhzyro")</f>
        <v>Takhzyro</v>
      </c>
      <c r="B129" t="s">
        <v>1743</v>
      </c>
      <c r="C129" s="1">
        <v>43335</v>
      </c>
      <c r="D129" t="s">
        <v>1744</v>
      </c>
      <c r="E129" s="1">
        <v>43335</v>
      </c>
      <c r="F129" t="s">
        <v>1354</v>
      </c>
      <c r="G129" t="s">
        <v>1355</v>
      </c>
      <c r="I129" t="s">
        <v>1361</v>
      </c>
      <c r="J129" s="3" t="s">
        <v>1745</v>
      </c>
      <c r="L129" s="1" t="s">
        <v>1377</v>
      </c>
    </row>
    <row r="130" spans="1:12" x14ac:dyDescent="0.3">
      <c r="A130" s="3" t="str">
        <f>HYPERLINK("https://www.accessdata.fda.gov/scripts/cder/daf/index.cfm?event=overview.process&amp;varApplNo=761094", "Oxervate")</f>
        <v>Oxervate</v>
      </c>
      <c r="B130" t="s">
        <v>1746</v>
      </c>
      <c r="C130" s="1">
        <v>43334</v>
      </c>
      <c r="D130" t="s">
        <v>1747</v>
      </c>
      <c r="E130" s="1">
        <v>43334</v>
      </c>
      <c r="F130" t="s">
        <v>1354</v>
      </c>
      <c r="G130" t="s">
        <v>1355</v>
      </c>
      <c r="I130" t="s">
        <v>1361</v>
      </c>
      <c r="J130" s="3" t="s">
        <v>1748</v>
      </c>
      <c r="L130" s="1">
        <v>43091</v>
      </c>
    </row>
    <row r="131" spans="1:12" x14ac:dyDescent="0.3">
      <c r="A131" s="3" t="str">
        <f>HYPERLINK("https://www.accessdata.fda.gov/scripts/cder/daf/index.cfm?event=overview.process&amp;varApplNo=206709", "Diacomit")</f>
        <v>Diacomit</v>
      </c>
      <c r="B131" t="s">
        <v>1749</v>
      </c>
      <c r="C131" s="1">
        <v>43332</v>
      </c>
      <c r="D131" t="s">
        <v>1750</v>
      </c>
      <c r="E131" s="1">
        <v>43332</v>
      </c>
      <c r="F131" t="s">
        <v>1354</v>
      </c>
      <c r="G131" t="s">
        <v>1355</v>
      </c>
      <c r="H131" t="s">
        <v>1356</v>
      </c>
      <c r="I131" t="s">
        <v>1386</v>
      </c>
      <c r="J131" s="3" t="s">
        <v>1751</v>
      </c>
      <c r="L131" s="1" t="s">
        <v>1377</v>
      </c>
    </row>
    <row r="132" spans="1:12" x14ac:dyDescent="0.3">
      <c r="A132" s="3" t="str">
        <f>HYPERLINK("https://www.accessdata.fda.gov/scripts/cder/daf/index.cfm?event=overview.process&amp;varApplNo=208623", "Galafold")</f>
        <v>Galafold</v>
      </c>
      <c r="B132" t="s">
        <v>1752</v>
      </c>
      <c r="C132" s="1">
        <v>43322</v>
      </c>
      <c r="D132" t="s">
        <v>1753</v>
      </c>
      <c r="E132" s="1">
        <v>43322</v>
      </c>
      <c r="F132" t="s">
        <v>1354</v>
      </c>
      <c r="G132" t="s">
        <v>1355</v>
      </c>
      <c r="H132" t="s">
        <v>1356</v>
      </c>
      <c r="I132" t="s">
        <v>1386</v>
      </c>
      <c r="J132" s="3" t="s">
        <v>1754</v>
      </c>
      <c r="L132" s="1">
        <v>43082</v>
      </c>
    </row>
    <row r="133" spans="1:12" x14ac:dyDescent="0.3">
      <c r="A133" s="3" t="str">
        <f>HYPERLINK("https://www.accessdata.fda.gov/scripts/cder/daf/index.cfm?event=overview.process&amp;varApplNo=209627", "Annovera")</f>
        <v>Annovera</v>
      </c>
      <c r="B133" t="s">
        <v>1755</v>
      </c>
      <c r="C133" s="1">
        <v>43322</v>
      </c>
      <c r="D133" t="s">
        <v>1756</v>
      </c>
      <c r="E133" s="1">
        <v>43322</v>
      </c>
      <c r="F133" t="s">
        <v>1354</v>
      </c>
      <c r="G133" t="s">
        <v>1355</v>
      </c>
      <c r="H133" t="s">
        <v>1446</v>
      </c>
      <c r="I133" t="s">
        <v>1357</v>
      </c>
      <c r="J133" s="3" t="s">
        <v>1757</v>
      </c>
      <c r="L133" s="1">
        <v>42964</v>
      </c>
    </row>
    <row r="134" spans="1:12" x14ac:dyDescent="0.3">
      <c r="A134" s="3" t="str">
        <f>HYPERLINK("https://www.accessdata.fda.gov/scripts/cder/daf/index.cfm?event=overview.process&amp;varApplNo=210922", "Onpattro")</f>
        <v>Onpattro</v>
      </c>
      <c r="B134" t="s">
        <v>1758</v>
      </c>
      <c r="C134" s="1">
        <v>43322</v>
      </c>
      <c r="D134" t="s">
        <v>1759</v>
      </c>
      <c r="E134" s="1">
        <v>43322</v>
      </c>
      <c r="F134" t="s">
        <v>1354</v>
      </c>
      <c r="G134" t="s">
        <v>1355</v>
      </c>
      <c r="H134" t="s">
        <v>1356</v>
      </c>
      <c r="I134" t="s">
        <v>1386</v>
      </c>
      <c r="J134" s="3" t="s">
        <v>1760</v>
      </c>
      <c r="L134" s="1">
        <v>43080</v>
      </c>
    </row>
    <row r="135" spans="1:12" x14ac:dyDescent="0.3">
      <c r="A135" s="3" t="str">
        <f>HYPERLINK("https://www.accessdata.fda.gov/scripts/cder/daf/index.cfm?event=overview.process&amp;varApplNo=761051", "Poteligeo")</f>
        <v>Poteligeo</v>
      </c>
      <c r="B135" t="s">
        <v>1761</v>
      </c>
      <c r="C135" s="1">
        <v>43320</v>
      </c>
      <c r="D135" t="s">
        <v>1762</v>
      </c>
      <c r="E135" s="1">
        <v>43320</v>
      </c>
      <c r="F135" t="s">
        <v>1354</v>
      </c>
      <c r="G135" t="s">
        <v>1355</v>
      </c>
      <c r="I135" t="s">
        <v>1361</v>
      </c>
      <c r="J135" s="3" t="s">
        <v>1763</v>
      </c>
      <c r="L135" s="1" t="s">
        <v>1377</v>
      </c>
    </row>
    <row r="136" spans="1:12" x14ac:dyDescent="0.3">
      <c r="A136" s="3" t="str">
        <f>HYPERLINK("https://www.accessdata.fda.gov/scripts/cder/daf/index.cfm?event=overview.process&amp;varApplNo=210923", "Mulpleta")</f>
        <v>Mulpleta</v>
      </c>
      <c r="B136" t="s">
        <v>1764</v>
      </c>
      <c r="C136" s="1">
        <v>43312</v>
      </c>
      <c r="D136" t="s">
        <v>1765</v>
      </c>
      <c r="E136" s="1">
        <v>43312</v>
      </c>
      <c r="F136" t="s">
        <v>1354</v>
      </c>
      <c r="G136" t="s">
        <v>1355</v>
      </c>
      <c r="H136" t="s">
        <v>1356</v>
      </c>
      <c r="I136" t="s">
        <v>1365</v>
      </c>
      <c r="J136" s="3" t="s">
        <v>1766</v>
      </c>
      <c r="L136" s="1">
        <v>43095</v>
      </c>
    </row>
    <row r="137" spans="1:12" x14ac:dyDescent="0.3">
      <c r="A137" s="3" t="str">
        <f>HYPERLINK("https://www.accessdata.fda.gov/scripts/cder/daf/index.cfm?event=overview.process&amp;varApplNo=210589", "Omegaven")</f>
        <v>Omegaven</v>
      </c>
      <c r="B137" t="s">
        <v>1767</v>
      </c>
      <c r="C137" s="1">
        <v>43308</v>
      </c>
      <c r="D137" t="s">
        <v>1768</v>
      </c>
      <c r="E137" s="1">
        <v>43308</v>
      </c>
      <c r="F137" t="s">
        <v>1354</v>
      </c>
      <c r="G137" t="s">
        <v>1355</v>
      </c>
      <c r="H137" t="s">
        <v>1446</v>
      </c>
      <c r="I137" t="s">
        <v>1386</v>
      </c>
      <c r="J137" s="3" t="s">
        <v>1769</v>
      </c>
      <c r="L137" s="1">
        <v>43070</v>
      </c>
    </row>
    <row r="138" spans="1:12" x14ac:dyDescent="0.3">
      <c r="A138" s="3" t="str">
        <f>HYPERLINK("https://www.accessdata.fda.gov/scripts/cder/daf/index.cfm?event=overview.process&amp;varApplNo=210450", "Orilissa")</f>
        <v>Orilissa</v>
      </c>
      <c r="B138" t="s">
        <v>1770</v>
      </c>
      <c r="C138" s="1">
        <v>43304</v>
      </c>
      <c r="D138" t="s">
        <v>1771</v>
      </c>
      <c r="E138" s="1">
        <v>43304</v>
      </c>
      <c r="F138" t="s">
        <v>1354</v>
      </c>
      <c r="G138" t="s">
        <v>1355</v>
      </c>
      <c r="H138" t="s">
        <v>1356</v>
      </c>
      <c r="I138" t="s">
        <v>1365</v>
      </c>
      <c r="J138" s="3" t="s">
        <v>1772</v>
      </c>
      <c r="L138" s="1">
        <v>42970</v>
      </c>
    </row>
    <row r="139" spans="1:12" x14ac:dyDescent="0.3">
      <c r="A139" s="3" t="str">
        <f>HYPERLINK("https://www.accessdata.fda.gov/scripts/cder/daf/index.cfm?event=overview.process&amp;varApplNo=210795", "Krintafel")</f>
        <v>Krintafel</v>
      </c>
      <c r="B139" t="s">
        <v>1773</v>
      </c>
      <c r="C139" s="1">
        <v>43301</v>
      </c>
      <c r="D139" t="s">
        <v>1774</v>
      </c>
      <c r="E139" s="1">
        <v>43301</v>
      </c>
      <c r="F139" t="s">
        <v>1354</v>
      </c>
      <c r="G139" t="s">
        <v>1355</v>
      </c>
      <c r="H139" t="s">
        <v>1356</v>
      </c>
      <c r="I139" t="s">
        <v>1386</v>
      </c>
      <c r="J139" s="3" t="s">
        <v>1775</v>
      </c>
      <c r="L139" s="1">
        <v>43061</v>
      </c>
    </row>
    <row r="140" spans="1:12" x14ac:dyDescent="0.3">
      <c r="A140" s="3" t="str">
        <f>HYPERLINK("https://www.accessdata.fda.gov/scripts/cder/daf/index.cfm?event=overview.process&amp;varApplNo=211192", "Tibsovo")</f>
        <v>Tibsovo</v>
      </c>
      <c r="B140" t="s">
        <v>1776</v>
      </c>
      <c r="C140" s="1">
        <v>43301</v>
      </c>
      <c r="D140" t="s">
        <v>1777</v>
      </c>
      <c r="E140" s="1">
        <v>43301</v>
      </c>
      <c r="F140" t="s">
        <v>1354</v>
      </c>
      <c r="G140" t="s">
        <v>1355</v>
      </c>
      <c r="H140" t="s">
        <v>1356</v>
      </c>
      <c r="I140" t="s">
        <v>1386</v>
      </c>
      <c r="J140" s="3" t="s">
        <v>1778</v>
      </c>
      <c r="L140" s="1">
        <v>43090</v>
      </c>
    </row>
    <row r="141" spans="1:12" x14ac:dyDescent="0.3">
      <c r="A141" s="3" t="str">
        <f>HYPERLINK("https://www.accessdata.fda.gov/scripts/cder/daf/index.cfm?event=overview.process&amp;varApplNo=208627", "TPOXX")</f>
        <v>TPOXX</v>
      </c>
      <c r="B141" t="s">
        <v>1779</v>
      </c>
      <c r="C141" s="1">
        <v>43294</v>
      </c>
      <c r="D141" t="s">
        <v>1780</v>
      </c>
      <c r="E141" s="1">
        <v>43294</v>
      </c>
      <c r="F141" t="s">
        <v>1354</v>
      </c>
      <c r="G141" t="s">
        <v>1355</v>
      </c>
      <c r="H141" t="s">
        <v>1356</v>
      </c>
      <c r="I141" t="s">
        <v>1386</v>
      </c>
      <c r="J141" s="3" t="s">
        <v>1781</v>
      </c>
      <c r="L141" s="1">
        <v>43077</v>
      </c>
    </row>
    <row r="142" spans="1:12" x14ac:dyDescent="0.3">
      <c r="A142" s="3" t="str">
        <f>HYPERLINK("https://www.accessdata.fda.gov/scripts/cder/daf/index.cfm?event=overview.process&amp;varApplNo=210496", "Braftovi")</f>
        <v>Braftovi</v>
      </c>
      <c r="B142" t="s">
        <v>1782</v>
      </c>
      <c r="C142" s="1">
        <v>43278</v>
      </c>
      <c r="D142" t="s">
        <v>1783</v>
      </c>
      <c r="E142" s="1">
        <v>43278</v>
      </c>
      <c r="F142" t="s">
        <v>1354</v>
      </c>
      <c r="G142" t="s">
        <v>1355</v>
      </c>
      <c r="H142" t="s">
        <v>1446</v>
      </c>
      <c r="I142" t="s">
        <v>1375</v>
      </c>
      <c r="J142" s="3" t="s">
        <v>1784</v>
      </c>
      <c r="L142" s="1">
        <v>42916</v>
      </c>
    </row>
    <row r="143" spans="1:12" x14ac:dyDescent="0.3">
      <c r="A143" s="3" t="str">
        <f>HYPERLINK("https://www.accessdata.fda.gov/scripts/cder/daf/index.cfm?event=overview.process&amp;varApplNo=210498", "Mektovi")</f>
        <v>Mektovi</v>
      </c>
      <c r="B143" t="s">
        <v>1785</v>
      </c>
      <c r="C143" s="1">
        <v>43278</v>
      </c>
      <c r="D143" t="s">
        <v>1783</v>
      </c>
      <c r="E143" s="1">
        <v>43278</v>
      </c>
      <c r="F143" t="s">
        <v>1354</v>
      </c>
      <c r="G143" t="s">
        <v>1355</v>
      </c>
      <c r="H143" t="s">
        <v>1446</v>
      </c>
      <c r="I143" t="s">
        <v>1375</v>
      </c>
      <c r="J143" s="3" t="s">
        <v>1786</v>
      </c>
      <c r="L143" s="1">
        <v>42916</v>
      </c>
    </row>
    <row r="144" spans="1:12" x14ac:dyDescent="0.3">
      <c r="A144" s="3" t="str">
        <f>HYPERLINK("https://www.accessdata.fda.gov/scripts/cder/daf/index.cfm?event=overview.process&amp;varApplNo=210303", "Zemdri")</f>
        <v>Zemdri</v>
      </c>
      <c r="B144" t="s">
        <v>1787</v>
      </c>
      <c r="C144" s="1">
        <v>43276</v>
      </c>
      <c r="D144" t="s">
        <v>1788</v>
      </c>
      <c r="E144" s="1">
        <v>43276</v>
      </c>
      <c r="F144" t="s">
        <v>1354</v>
      </c>
      <c r="G144" t="s">
        <v>1355</v>
      </c>
      <c r="H144" t="s">
        <v>1356</v>
      </c>
      <c r="I144" t="s">
        <v>1365</v>
      </c>
      <c r="J144" s="3" t="s">
        <v>1789</v>
      </c>
      <c r="L144" s="1">
        <v>43033</v>
      </c>
    </row>
    <row r="145" spans="1:12" x14ac:dyDescent="0.3">
      <c r="A145" s="3" t="str">
        <f>HYPERLINK("https://www.accessdata.fda.gov/scripts/cder/daf/index.cfm?event=overview.process&amp;varApplNo=210365", "Epidioloex")</f>
        <v>Epidioloex</v>
      </c>
      <c r="B145" t="s">
        <v>1790</v>
      </c>
      <c r="C145" s="1">
        <v>43276</v>
      </c>
      <c r="D145" t="s">
        <v>1791</v>
      </c>
      <c r="E145" s="1">
        <v>43276</v>
      </c>
      <c r="F145" t="s">
        <v>1354</v>
      </c>
      <c r="G145" t="s">
        <v>1355</v>
      </c>
      <c r="H145" t="s">
        <v>1356</v>
      </c>
      <c r="I145" t="s">
        <v>1386</v>
      </c>
      <c r="J145" s="3" t="s">
        <v>1792</v>
      </c>
      <c r="L145" s="1">
        <v>43400</v>
      </c>
    </row>
    <row r="146" spans="1:12" x14ac:dyDescent="0.3">
      <c r="A146" s="3" t="str">
        <f>HYPERLINK("https://www.accessdata.fda.gov/scripts/cder/daf/index.cfm?event=overview.process&amp;applno=210867", "Moxidectin")</f>
        <v>Moxidectin</v>
      </c>
      <c r="B146" t="s">
        <v>1793</v>
      </c>
      <c r="C146" s="1">
        <v>43264</v>
      </c>
      <c r="D146" t="s">
        <v>1794</v>
      </c>
      <c r="E146" s="1">
        <v>43264</v>
      </c>
      <c r="F146" t="s">
        <v>1354</v>
      </c>
      <c r="G146" t="s">
        <v>1355</v>
      </c>
      <c r="H146" t="s">
        <v>1356</v>
      </c>
      <c r="I146" t="s">
        <v>1386</v>
      </c>
      <c r="J146" s="3" t="s">
        <v>1795</v>
      </c>
      <c r="L146" s="1">
        <v>43021</v>
      </c>
    </row>
    <row r="147" spans="1:12" x14ac:dyDescent="0.3">
      <c r="A147" s="3" t="str">
        <f>HYPERLINK("https://www.accessdata.fda.gov/scripts/cder/daf/index.cfm?event=overview.process&amp;varApplNo=207924", "Olumiant")</f>
        <v>Olumiant</v>
      </c>
      <c r="B147" t="s">
        <v>1796</v>
      </c>
      <c r="C147" s="1">
        <v>43251</v>
      </c>
      <c r="D147" t="s">
        <v>1797</v>
      </c>
      <c r="E147" s="1">
        <v>43251</v>
      </c>
      <c r="F147" t="s">
        <v>1354</v>
      </c>
      <c r="G147" t="s">
        <v>1355</v>
      </c>
      <c r="H147" t="s">
        <v>1356</v>
      </c>
      <c r="I147" t="s">
        <v>1357</v>
      </c>
      <c r="J147" s="3" t="s">
        <v>1798</v>
      </c>
      <c r="L147" s="1">
        <v>42384</v>
      </c>
    </row>
    <row r="148" spans="1:12" x14ac:dyDescent="0.3">
      <c r="A148" s="3" t="str">
        <f>HYPERLINK("https://www.accessdata.fda.gov/scripts/cder/daf/index.cfm?event=overview.process&amp;varApplNo=761079", "Palynziq")</f>
        <v>Palynziq</v>
      </c>
      <c r="B148" t="s">
        <v>1799</v>
      </c>
      <c r="C148" s="1">
        <v>43244</v>
      </c>
      <c r="D148" t="s">
        <v>1800</v>
      </c>
      <c r="E148" s="1">
        <v>43244</v>
      </c>
      <c r="F148" t="s">
        <v>1354</v>
      </c>
      <c r="G148" t="s">
        <v>1355</v>
      </c>
      <c r="I148" t="s">
        <v>1361</v>
      </c>
      <c r="J148" s="3" t="s">
        <v>1801</v>
      </c>
      <c r="L148" s="1">
        <v>42916</v>
      </c>
    </row>
    <row r="149" spans="1:12" x14ac:dyDescent="0.3">
      <c r="A149" s="3" t="str">
        <f>HYPERLINK("https://www.accessdata.fda.gov/scripts/cder/daf/index.cfm?event=overview.process&amp;varApplNo=210238", "Doptelet")</f>
        <v>Doptelet</v>
      </c>
      <c r="B149" t="s">
        <v>1802</v>
      </c>
      <c r="C149" s="1">
        <v>43241</v>
      </c>
      <c r="D149" t="s">
        <v>1803</v>
      </c>
      <c r="E149" s="1">
        <v>43241</v>
      </c>
      <c r="F149" t="s">
        <v>1354</v>
      </c>
      <c r="G149" t="s">
        <v>1355</v>
      </c>
      <c r="H149" t="s">
        <v>1356</v>
      </c>
      <c r="I149" t="s">
        <v>1386</v>
      </c>
      <c r="J149" s="3" t="s">
        <v>1804</v>
      </c>
      <c r="L149" s="1">
        <v>42999</v>
      </c>
    </row>
    <row r="150" spans="1:12" x14ac:dyDescent="0.3">
      <c r="A150" s="3" t="str">
        <f>HYPERLINK("https://www.accessdata.fda.gov/scripts/cder/daf/index.cfm?event=overview.process&amp;varApplNo=207078", "Lokelma")</f>
        <v>Lokelma</v>
      </c>
      <c r="B150" t="s">
        <v>1805</v>
      </c>
      <c r="C150" s="1">
        <v>43238</v>
      </c>
      <c r="D150" t="s">
        <v>1806</v>
      </c>
      <c r="E150" s="1">
        <v>43238</v>
      </c>
      <c r="F150" t="s">
        <v>1354</v>
      </c>
      <c r="G150" t="s">
        <v>1355</v>
      </c>
      <c r="H150" t="s">
        <v>1356</v>
      </c>
      <c r="I150" t="s">
        <v>1357</v>
      </c>
      <c r="J150" s="3" t="s">
        <v>1807</v>
      </c>
      <c r="L150" s="1">
        <v>42150</v>
      </c>
    </row>
    <row r="151" spans="1:12" x14ac:dyDescent="0.3">
      <c r="A151" s="3" t="str">
        <f>HYPERLINK("https://www.accessdata.fda.gov/scripts/cder/daf/index.cfm?event=overview.process&amp;varApplNo=761077", "Aimovig")</f>
        <v>Aimovig</v>
      </c>
      <c r="B151" t="s">
        <v>1808</v>
      </c>
      <c r="C151" s="1">
        <v>43237</v>
      </c>
      <c r="D151" t="s">
        <v>1809</v>
      </c>
      <c r="E151" s="1">
        <v>43237</v>
      </c>
      <c r="F151" t="s">
        <v>1354</v>
      </c>
      <c r="G151" t="s">
        <v>1355</v>
      </c>
      <c r="I151" t="s">
        <v>1282</v>
      </c>
      <c r="J151" s="3" t="s">
        <v>1810</v>
      </c>
      <c r="L151" s="1">
        <v>42872</v>
      </c>
    </row>
    <row r="152" spans="1:12" x14ac:dyDescent="0.3">
      <c r="A152" s="3" t="str">
        <f>HYPERLINK("https://www.accessdata.fda.gov/scripts/cder/daf/index.cfm?event=overview.process&amp;varApplNo=209229", "Lucemyra")</f>
        <v>Lucemyra</v>
      </c>
      <c r="B152" t="s">
        <v>1811</v>
      </c>
      <c r="C152" s="1">
        <v>43236</v>
      </c>
      <c r="D152" t="s">
        <v>1812</v>
      </c>
      <c r="E152" s="1">
        <v>43236</v>
      </c>
      <c r="F152" t="s">
        <v>1354</v>
      </c>
      <c r="G152" t="s">
        <v>1355</v>
      </c>
      <c r="H152" t="s">
        <v>1356</v>
      </c>
      <c r="I152" t="s">
        <v>1365</v>
      </c>
      <c r="J152" s="3" t="s">
        <v>1813</v>
      </c>
      <c r="L152" s="1">
        <v>43004</v>
      </c>
    </row>
    <row r="153" spans="1:12" x14ac:dyDescent="0.3">
      <c r="A153" s="3" t="str">
        <f>HYPERLINK("https://www.accessdata.fda.gov/scripts/cder/daf/index.cfm?event=overview.process&amp;varApplNo=210493", "Akynzeo")</f>
        <v>Akynzeo</v>
      </c>
      <c r="B153" t="s">
        <v>1814</v>
      </c>
      <c r="C153" s="1">
        <v>43209</v>
      </c>
      <c r="D153" t="s">
        <v>1815</v>
      </c>
      <c r="E153" s="1">
        <v>43209</v>
      </c>
      <c r="F153" t="s">
        <v>1354</v>
      </c>
      <c r="G153" t="s">
        <v>1355</v>
      </c>
      <c r="H153" t="s">
        <v>1356</v>
      </c>
      <c r="I153" t="s">
        <v>1357</v>
      </c>
      <c r="J153" s="3" t="s">
        <v>1816</v>
      </c>
      <c r="L153" s="1">
        <v>42845</v>
      </c>
    </row>
    <row r="154" spans="1:12" x14ac:dyDescent="0.3">
      <c r="A154" s="3" t="str">
        <f>HYPERLINK("https://www.accessdata.fda.gov/scripts/cder/daf/index.cfm?event=overview.process&amp;varApplNo=761068", "Crysvita")</f>
        <v>Crysvita</v>
      </c>
      <c r="B154" t="s">
        <v>1817</v>
      </c>
      <c r="C154" s="1">
        <v>43207</v>
      </c>
      <c r="D154" t="s">
        <v>1818</v>
      </c>
      <c r="E154" s="1">
        <v>43207</v>
      </c>
      <c r="F154" t="s">
        <v>1354</v>
      </c>
      <c r="G154" t="s">
        <v>1355</v>
      </c>
      <c r="I154" t="s">
        <v>1361</v>
      </c>
      <c r="J154" s="3" t="s">
        <v>1819</v>
      </c>
      <c r="L154" s="1">
        <v>42964</v>
      </c>
    </row>
    <row r="155" spans="1:12" x14ac:dyDescent="0.3">
      <c r="A155" s="3" t="str">
        <f>HYPERLINK("https://www.accessdata.fda.gov/scripts/cder/daf/index.cfm?event=overview.process&amp;varApplNo=209299", "Tavalisse")</f>
        <v>Tavalisse</v>
      </c>
      <c r="B155" t="s">
        <v>1820</v>
      </c>
      <c r="C155" s="1">
        <v>43207</v>
      </c>
      <c r="D155" t="s">
        <v>1821</v>
      </c>
      <c r="E155" s="1">
        <v>43207</v>
      </c>
      <c r="F155" t="s">
        <v>1354</v>
      </c>
      <c r="G155" t="s">
        <v>1355</v>
      </c>
      <c r="H155" t="s">
        <v>1356</v>
      </c>
      <c r="I155" t="s">
        <v>1375</v>
      </c>
      <c r="J155" s="3" t="s">
        <v>1822</v>
      </c>
      <c r="L155" s="1">
        <v>42840</v>
      </c>
    </row>
    <row r="156" spans="1:12" x14ac:dyDescent="0.3">
      <c r="A156" s="3" t="str">
        <f>HYPERLINK("https://www.accessdata.fda.gov/scripts/cder/daf/index.cfm?event=overview.process&amp;varApplNo=761067", "Ilumya")</f>
        <v>Ilumya</v>
      </c>
      <c r="B156" t="s">
        <v>1823</v>
      </c>
      <c r="C156" s="1">
        <v>43179</v>
      </c>
      <c r="D156" t="s">
        <v>1824</v>
      </c>
      <c r="E156" s="1">
        <v>43179</v>
      </c>
      <c r="F156" t="s">
        <v>1354</v>
      </c>
      <c r="G156" t="s">
        <v>1355</v>
      </c>
      <c r="I156" t="s">
        <v>1282</v>
      </c>
      <c r="J156" s="3" t="s">
        <v>1825</v>
      </c>
      <c r="L156" s="1">
        <v>42817</v>
      </c>
    </row>
    <row r="157" spans="1:12" x14ac:dyDescent="0.3">
      <c r="A157" s="3" t="str">
        <f>HYPERLINK("https://www.accessdata.fda.gov/scripts/cder/daf/index.cfm?event=overview.process&amp;varApplNo=761065", "Trogarzo")</f>
        <v>Trogarzo</v>
      </c>
      <c r="B157" t="s">
        <v>1826</v>
      </c>
      <c r="C157" s="1">
        <v>43165</v>
      </c>
      <c r="D157" t="s">
        <v>1827</v>
      </c>
      <c r="E157" s="1">
        <v>43165</v>
      </c>
      <c r="F157" t="s">
        <v>1354</v>
      </c>
      <c r="G157" t="s">
        <v>1355</v>
      </c>
      <c r="I157" t="s">
        <v>1361</v>
      </c>
      <c r="J157" s="3" t="s">
        <v>1828</v>
      </c>
      <c r="L157" s="1" t="s">
        <v>1377</v>
      </c>
    </row>
    <row r="158" spans="1:12" x14ac:dyDescent="0.3">
      <c r="A158" s="3" t="str">
        <f>HYPERLINK("https://www.accessdata.fda.gov/scripts/cder/daf/index.cfm?event=overview.process&amp;varApplNo=210951", "Erleada")</f>
        <v>Erleada</v>
      </c>
      <c r="B158" t="s">
        <v>1829</v>
      </c>
      <c r="C158" s="1">
        <v>43145</v>
      </c>
      <c r="D158" t="s">
        <v>1830</v>
      </c>
      <c r="E158" s="1">
        <v>43145</v>
      </c>
      <c r="F158" t="s">
        <v>1354</v>
      </c>
      <c r="G158" t="s">
        <v>1355</v>
      </c>
      <c r="H158" t="s">
        <v>1356</v>
      </c>
      <c r="I158" t="s">
        <v>1365</v>
      </c>
      <c r="J158" s="3" t="s">
        <v>1831</v>
      </c>
      <c r="L158" s="1">
        <v>43017</v>
      </c>
    </row>
    <row r="159" spans="1:12" x14ac:dyDescent="0.3">
      <c r="A159" s="3" t="str">
        <f>HYPERLINK("https://www.accessdata.fda.gov/scripts/cder/daf/index.cfm?event=overview.process&amp;varApplNo=210491", "Symdeko")</f>
        <v>Symdeko</v>
      </c>
      <c r="B159" t="s">
        <v>1832</v>
      </c>
      <c r="C159" s="1">
        <v>43143</v>
      </c>
      <c r="D159" t="s">
        <v>1833</v>
      </c>
      <c r="E159" s="1">
        <v>43143</v>
      </c>
      <c r="F159" t="s">
        <v>1354</v>
      </c>
      <c r="G159" t="s">
        <v>1355</v>
      </c>
      <c r="H159" t="s">
        <v>1356</v>
      </c>
      <c r="I159" t="s">
        <v>1386</v>
      </c>
      <c r="J159" s="3" t="s">
        <v>1834</v>
      </c>
      <c r="L159" s="1">
        <v>42914</v>
      </c>
    </row>
    <row r="160" spans="1:12" x14ac:dyDescent="0.3">
      <c r="A160" s="3" t="str">
        <f>HYPERLINK("https://www.accessdata.fda.gov/scripts/cder/daf/index.cfm?event=overview.process&amp;varApplNo=210251", "Biktarvy")</f>
        <v>Biktarvy</v>
      </c>
      <c r="B160" t="s">
        <v>1835</v>
      </c>
      <c r="C160" s="1">
        <v>43138</v>
      </c>
      <c r="D160" t="s">
        <v>1836</v>
      </c>
      <c r="E160" s="1">
        <v>43138</v>
      </c>
      <c r="F160" t="s">
        <v>1354</v>
      </c>
      <c r="G160" t="s">
        <v>1355</v>
      </c>
      <c r="H160" t="s">
        <v>1446</v>
      </c>
      <c r="I160" t="s">
        <v>1365</v>
      </c>
      <c r="J160" s="3" t="s">
        <v>1837</v>
      </c>
      <c r="L160" s="1">
        <v>42896</v>
      </c>
    </row>
    <row r="161" spans="1:12" x14ac:dyDescent="0.3">
      <c r="A161" s="3" t="str">
        <f>HYPERLINK("https://www.accessdata.fda.gov/scripts/cder/daf/index.cfm?event=overview.process&amp;varApplNo=208700", "Lutathera")</f>
        <v>Lutathera</v>
      </c>
      <c r="B161" t="s">
        <v>1838</v>
      </c>
      <c r="C161" s="1">
        <v>43126</v>
      </c>
      <c r="D161" t="s">
        <v>1839</v>
      </c>
      <c r="E161" s="1">
        <v>43126</v>
      </c>
      <c r="F161" t="s">
        <v>1354</v>
      </c>
      <c r="G161" t="s">
        <v>1355</v>
      </c>
      <c r="H161" t="s">
        <v>1356</v>
      </c>
      <c r="I161" t="s">
        <v>1386</v>
      </c>
      <c r="J161" s="3" t="s">
        <v>1840</v>
      </c>
      <c r="L161" s="1">
        <v>42488</v>
      </c>
    </row>
    <row r="162" spans="1:12" x14ac:dyDescent="0.3">
      <c r="A162" s="3" t="str">
        <f>HYPERLINK("https://www.accessdata.fda.gov/scripts/cder/daf/index.cfm?event=overview.process&amp;varApplNo=209360", "Giapreza")</f>
        <v>Giapreza</v>
      </c>
      <c r="B162" t="s">
        <v>1841</v>
      </c>
      <c r="C162" s="1">
        <v>43090</v>
      </c>
      <c r="D162" t="s">
        <v>1842</v>
      </c>
      <c r="E162" s="1">
        <v>43090</v>
      </c>
      <c r="F162" t="s">
        <v>1354</v>
      </c>
      <c r="G162" t="s">
        <v>1355</v>
      </c>
      <c r="H162" t="s">
        <v>1356</v>
      </c>
      <c r="I162" t="s">
        <v>1365</v>
      </c>
      <c r="J162" s="3" t="s">
        <v>1843</v>
      </c>
      <c r="L162" s="1">
        <v>42915</v>
      </c>
    </row>
    <row r="163" spans="1:12" x14ac:dyDescent="0.3">
      <c r="A163" s="3" t="str">
        <f>HYPERLINK("https://www.accessdata.fda.gov/scripts/cder/daf/index.cfm?event=overview.process&amp;varApplNo=205598", "Macrilen")</f>
        <v>Macrilen</v>
      </c>
      <c r="B163" t="s">
        <v>1844</v>
      </c>
      <c r="C163" s="1">
        <v>43089</v>
      </c>
      <c r="D163" t="s">
        <v>1845</v>
      </c>
      <c r="E163" s="1">
        <v>43089</v>
      </c>
      <c r="F163" t="s">
        <v>1354</v>
      </c>
      <c r="G163" t="s">
        <v>1355</v>
      </c>
      <c r="H163" t="s">
        <v>1356</v>
      </c>
      <c r="I163" t="s">
        <v>1375</v>
      </c>
      <c r="J163" s="3" t="s">
        <v>1846</v>
      </c>
      <c r="L163" s="1">
        <v>41582</v>
      </c>
    </row>
    <row r="164" spans="1:12" x14ac:dyDescent="0.3">
      <c r="A164" s="3" t="str">
        <f>HYPERLINK("https://www.accessdata.fda.gov/scripts/cder/daf/index.cfm?event=overview.process&amp;varApplNo=209803", "Steglatro")</f>
        <v>Steglatro</v>
      </c>
      <c r="B164" t="s">
        <v>1847</v>
      </c>
      <c r="C164" s="1">
        <v>43088</v>
      </c>
      <c r="D164" t="s">
        <v>1848</v>
      </c>
      <c r="E164" s="1">
        <v>43088</v>
      </c>
      <c r="F164" t="s">
        <v>1354</v>
      </c>
      <c r="G164" t="s">
        <v>1355</v>
      </c>
      <c r="H164" t="s">
        <v>1356</v>
      </c>
      <c r="I164" t="s">
        <v>1357</v>
      </c>
      <c r="J164" s="3" t="s">
        <v>1849</v>
      </c>
      <c r="L164" s="1">
        <v>42723</v>
      </c>
    </row>
    <row r="165" spans="1:12" x14ac:dyDescent="0.3">
      <c r="A165" s="3" t="str">
        <f>HYPERLINK("https://www.accessdata.fda.gov/scripts/cder/daf/index.cfm?event=overview.process&amp;varApplNo=208254", "Rhopressa")</f>
        <v>Rhopressa</v>
      </c>
      <c r="B165" t="s">
        <v>1850</v>
      </c>
      <c r="C165" s="1">
        <v>43087</v>
      </c>
      <c r="D165" t="s">
        <v>1851</v>
      </c>
      <c r="E165" s="1">
        <v>43087</v>
      </c>
      <c r="F165" t="s">
        <v>1354</v>
      </c>
      <c r="G165" t="s">
        <v>1355</v>
      </c>
      <c r="H165" t="s">
        <v>1356</v>
      </c>
      <c r="I165" t="s">
        <v>1357</v>
      </c>
      <c r="J165" s="3" t="s">
        <v>1852</v>
      </c>
      <c r="L165" s="1">
        <v>42794</v>
      </c>
    </row>
    <row r="166" spans="1:12" x14ac:dyDescent="0.3">
      <c r="A166" s="3" t="str">
        <f>HYPERLINK("https://www.accessdata.fda.gov/scripts/cder/daf/index.cfm?event=overview.process&amp;varApplNo=208945", "Xepi")</f>
        <v>Xepi</v>
      </c>
      <c r="B166" t="s">
        <v>1853</v>
      </c>
      <c r="C166" s="1">
        <v>43080</v>
      </c>
      <c r="D166" t="s">
        <v>1854</v>
      </c>
      <c r="E166" s="1">
        <v>43080</v>
      </c>
      <c r="F166" t="s">
        <v>1354</v>
      </c>
      <c r="G166" t="s">
        <v>1355</v>
      </c>
      <c r="H166" t="s">
        <v>1356</v>
      </c>
      <c r="I166" t="s">
        <v>1357</v>
      </c>
      <c r="J166" s="3" t="s">
        <v>1855</v>
      </c>
      <c r="L166" s="1">
        <v>42544</v>
      </c>
    </row>
    <row r="167" spans="1:12" x14ac:dyDescent="0.3">
      <c r="A167" s="3" t="str">
        <f>HYPERLINK("https://www.accessdata.fda.gov/scripts/cder/daf/index.cfm?event=overview.process&amp;varApplNo=209637", "Ozempic")</f>
        <v>Ozempic</v>
      </c>
      <c r="B167" t="s">
        <v>1856</v>
      </c>
      <c r="C167" s="1">
        <v>43074</v>
      </c>
      <c r="D167" t="s">
        <v>1848</v>
      </c>
      <c r="E167" s="1">
        <v>43074</v>
      </c>
      <c r="F167" t="s">
        <v>1354</v>
      </c>
      <c r="G167" t="s">
        <v>1355</v>
      </c>
      <c r="H167" t="s">
        <v>1356</v>
      </c>
      <c r="I167" t="s">
        <v>1357</v>
      </c>
      <c r="J167" s="3" t="s">
        <v>1857</v>
      </c>
      <c r="L167" s="1">
        <v>42709</v>
      </c>
    </row>
    <row r="168" spans="1:12" x14ac:dyDescent="0.3">
      <c r="A168" s="3" t="str">
        <f>HYPERLINK("https://www.accessdata.fda.gov/scripts/cder/daf/index.cfm?event=overview.process&amp;varApplNo=761083", "Hemlibra")</f>
        <v>Hemlibra</v>
      </c>
      <c r="B168" t="s">
        <v>1858</v>
      </c>
      <c r="C168" s="1">
        <v>43055</v>
      </c>
      <c r="D168" t="s">
        <v>1859</v>
      </c>
      <c r="E168" s="1">
        <v>43055</v>
      </c>
      <c r="F168" t="s">
        <v>1354</v>
      </c>
      <c r="G168" t="s">
        <v>1355</v>
      </c>
      <c r="I168" t="s">
        <v>1361</v>
      </c>
      <c r="J168" s="3" t="s">
        <v>1860</v>
      </c>
      <c r="L168" s="1">
        <v>42909</v>
      </c>
    </row>
    <row r="169" spans="1:12" x14ac:dyDescent="0.3">
      <c r="A169" s="3" t="str">
        <f>HYPERLINK("https://www.accessdata.fda.gov/scripts/cder/daf/index.cfm?event=overview.process&amp;varApplNo=761047", "Mepsevii")</f>
        <v>Mepsevii</v>
      </c>
      <c r="B169" t="s">
        <v>1861</v>
      </c>
      <c r="C169" s="1">
        <v>43054</v>
      </c>
      <c r="D169" t="s">
        <v>1862</v>
      </c>
      <c r="E169" s="1">
        <v>43054</v>
      </c>
      <c r="F169" t="s">
        <v>1354</v>
      </c>
      <c r="G169" t="s">
        <v>1355</v>
      </c>
      <c r="I169" t="s">
        <v>1361</v>
      </c>
      <c r="J169" s="3" t="s">
        <v>1863</v>
      </c>
      <c r="L169" s="1">
        <v>42810</v>
      </c>
    </row>
    <row r="170" spans="1:12" x14ac:dyDescent="0.3">
      <c r="A170" s="3" t="str">
        <f>HYPERLINK("https://www.accessdata.fda.gov/scripts/cder/daf/index.cfm?event=overview.process&amp;varApplNo=761070", "Fasenra")</f>
        <v>Fasenra</v>
      </c>
      <c r="B170" t="s">
        <v>1864</v>
      </c>
      <c r="C170" s="1">
        <v>43053</v>
      </c>
      <c r="D170" t="s">
        <v>1865</v>
      </c>
      <c r="E170" s="1">
        <v>43053</v>
      </c>
      <c r="F170" t="s">
        <v>1354</v>
      </c>
      <c r="G170" t="s">
        <v>1355</v>
      </c>
      <c r="I170" t="s">
        <v>1282</v>
      </c>
      <c r="J170" s="3" t="s">
        <v>1866</v>
      </c>
      <c r="L170" s="1">
        <v>42690</v>
      </c>
    </row>
    <row r="171" spans="1:12" x14ac:dyDescent="0.3">
      <c r="A171" s="3" t="str">
        <f>HYPERLINK("https://www.accessdata.fda.gov/scripts/cder/daf/index.cfm?event=overview.process&amp;varApplNo=209939", "Prevymis")</f>
        <v>Prevymis</v>
      </c>
      <c r="B171" t="s">
        <v>1867</v>
      </c>
      <c r="C171" s="1">
        <v>43047</v>
      </c>
      <c r="D171" t="s">
        <v>1868</v>
      </c>
      <c r="E171" s="1">
        <v>43047</v>
      </c>
      <c r="F171" t="s">
        <v>1354</v>
      </c>
      <c r="G171" t="s">
        <v>1355</v>
      </c>
      <c r="H171" t="s">
        <v>1356</v>
      </c>
      <c r="I171" t="s">
        <v>1386</v>
      </c>
      <c r="J171" s="3" t="s">
        <v>1869</v>
      </c>
      <c r="L171" s="1" t="s">
        <v>1377</v>
      </c>
    </row>
    <row r="172" spans="1:12" x14ac:dyDescent="0.3">
      <c r="A172" s="3" t="str">
        <f>HYPERLINK("https://www.accessdata.fda.gov/scripts/cder/daf/index.cfm?event=overview.process&amp;varApplNo=207795", "Vyzulta")</f>
        <v>Vyzulta</v>
      </c>
      <c r="B172" t="s">
        <v>1870</v>
      </c>
      <c r="C172" s="1">
        <v>43041</v>
      </c>
      <c r="D172" t="s">
        <v>1871</v>
      </c>
      <c r="E172" s="1">
        <v>43041</v>
      </c>
      <c r="F172" t="s">
        <v>1354</v>
      </c>
      <c r="G172" t="s">
        <v>1355</v>
      </c>
      <c r="H172" t="s">
        <v>1356</v>
      </c>
      <c r="I172" t="s">
        <v>1357</v>
      </c>
      <c r="J172" s="3" t="s">
        <v>1872</v>
      </c>
      <c r="L172" s="1" t="s">
        <v>1377</v>
      </c>
    </row>
    <row r="173" spans="1:12" x14ac:dyDescent="0.3">
      <c r="A173" s="3" t="str">
        <f>HYPERLINK("https://www.accessdata.fda.gov/scripts/cder/daf/index.cfm?event=overview.process&amp;varApplNo=210259", "Calquence")</f>
        <v>Calquence</v>
      </c>
      <c r="B173" t="s">
        <v>1873</v>
      </c>
      <c r="C173" s="1">
        <v>43039</v>
      </c>
      <c r="D173" t="s">
        <v>1874</v>
      </c>
      <c r="E173" s="1">
        <v>43039</v>
      </c>
      <c r="F173" t="s">
        <v>1354</v>
      </c>
      <c r="G173" t="s">
        <v>1355</v>
      </c>
      <c r="H173" t="s">
        <v>1356</v>
      </c>
      <c r="I173" t="s">
        <v>1386</v>
      </c>
      <c r="J173" s="3" t="s">
        <v>1875</v>
      </c>
      <c r="L173" s="1">
        <v>42899</v>
      </c>
    </row>
    <row r="174" spans="1:12" x14ac:dyDescent="0.3">
      <c r="A174" s="3" t="str">
        <f>HYPERLINK("https://www.accessdata.fda.gov/scripts/cder/daf/index.cfm?event=overview.process&amp;varApplNo=208716", "Verzenio")</f>
        <v>Verzenio</v>
      </c>
      <c r="B174" t="s">
        <v>1876</v>
      </c>
      <c r="C174" s="1">
        <v>43006</v>
      </c>
      <c r="D174" t="s">
        <v>1877</v>
      </c>
      <c r="E174" s="1">
        <v>43006</v>
      </c>
      <c r="F174" t="s">
        <v>1354</v>
      </c>
      <c r="G174" t="s">
        <v>1355</v>
      </c>
      <c r="H174" t="s">
        <v>1356</v>
      </c>
      <c r="I174" t="s">
        <v>1365</v>
      </c>
      <c r="J174" s="3" t="s">
        <v>1878</v>
      </c>
      <c r="L174" s="1">
        <v>42860</v>
      </c>
    </row>
    <row r="175" spans="1:12" x14ac:dyDescent="0.3">
      <c r="A175" s="3" t="str">
        <f>HYPERLINK("https://www.accessdata.fda.gov/scripts/cder/daf/index.cfm?event=overview.process&amp;varApplNo=209363", "Solosec")</f>
        <v>Solosec</v>
      </c>
      <c r="B175" t="s">
        <v>1879</v>
      </c>
      <c r="C175" s="1">
        <v>42993</v>
      </c>
      <c r="D175" t="s">
        <v>1880</v>
      </c>
      <c r="E175" s="1">
        <v>42993</v>
      </c>
      <c r="F175" t="s">
        <v>1354</v>
      </c>
      <c r="G175" t="s">
        <v>1355</v>
      </c>
      <c r="H175" t="s">
        <v>1356</v>
      </c>
      <c r="I175" t="s">
        <v>1365</v>
      </c>
      <c r="J175" s="3" t="s">
        <v>1881</v>
      </c>
      <c r="L175" s="1">
        <v>42752</v>
      </c>
    </row>
    <row r="176" spans="1:12" x14ac:dyDescent="0.3">
      <c r="A176" s="3" t="str">
        <f>HYPERLINK("https://www.accessdata.fda.gov/scripts/cder/daf/index.cfm?event=overview.process&amp;varApplNo=209936", "Aliqopa")</f>
        <v>Aliqopa</v>
      </c>
      <c r="B176" t="s">
        <v>1882</v>
      </c>
      <c r="C176" s="1">
        <v>42992</v>
      </c>
      <c r="D176" t="s">
        <v>1883</v>
      </c>
      <c r="E176" s="1">
        <v>42992</v>
      </c>
      <c r="F176" t="s">
        <v>1354</v>
      </c>
      <c r="G176" t="s">
        <v>1355</v>
      </c>
      <c r="H176" t="s">
        <v>1356</v>
      </c>
      <c r="I176" t="s">
        <v>1386</v>
      </c>
      <c r="J176" s="3" t="s">
        <v>1884</v>
      </c>
      <c r="L176" s="1">
        <v>42810</v>
      </c>
    </row>
    <row r="177" spans="1:12" x14ac:dyDescent="0.3">
      <c r="A177" s="3" t="str">
        <f>HYPERLINK("https://www.accessdata.fda.gov/scripts/cder/daf/index.cfm?event=overview.process&amp;varApplNo=209570", "benznidazole")</f>
        <v>benznidazole</v>
      </c>
      <c r="B177" t="s">
        <v>1885</v>
      </c>
      <c r="C177" s="1">
        <v>42976</v>
      </c>
      <c r="D177" t="s">
        <v>1886</v>
      </c>
      <c r="E177" s="1">
        <v>42976</v>
      </c>
      <c r="F177" t="s">
        <v>1354</v>
      </c>
      <c r="G177" t="s">
        <v>1355</v>
      </c>
      <c r="H177" t="s">
        <v>1356</v>
      </c>
      <c r="I177" t="s">
        <v>1386</v>
      </c>
      <c r="J177" s="3" t="s">
        <v>1887</v>
      </c>
      <c r="L177" s="1">
        <v>42733</v>
      </c>
    </row>
    <row r="178" spans="1:12" x14ac:dyDescent="0.3">
      <c r="A178" s="3" t="str">
        <f>HYPERLINK("https://www.accessdata.fda.gov/scripts/cder/daf/index.cfm?event=overview.process&amp;varApplNo=209776", "Vabomere")</f>
        <v>Vabomere</v>
      </c>
      <c r="B178" t="s">
        <v>1888</v>
      </c>
      <c r="C178" s="1">
        <v>42976</v>
      </c>
      <c r="D178" t="s">
        <v>1889</v>
      </c>
      <c r="E178" s="1">
        <v>42976</v>
      </c>
      <c r="F178" t="s">
        <v>1354</v>
      </c>
      <c r="G178" t="s">
        <v>1355</v>
      </c>
      <c r="H178" t="s">
        <v>1446</v>
      </c>
      <c r="I178" t="s">
        <v>1365</v>
      </c>
      <c r="J178" s="3" t="s">
        <v>1890</v>
      </c>
      <c r="K178" s="3" t="s">
        <v>1891</v>
      </c>
      <c r="L178" s="1">
        <v>42733</v>
      </c>
    </row>
    <row r="179" spans="1:12" x14ac:dyDescent="0.3">
      <c r="A179" s="3" t="str">
        <f>HYPERLINK("https://www.accessdata.fda.gov/scripts/cder/daf/index.cfm?event=overview.process&amp;varApplNo=761040", "Besponsa")</f>
        <v>Besponsa</v>
      </c>
      <c r="B179" t="s">
        <v>1892</v>
      </c>
      <c r="C179" s="1">
        <v>42964</v>
      </c>
      <c r="D179" t="s">
        <v>1893</v>
      </c>
      <c r="E179" s="1">
        <v>42964</v>
      </c>
      <c r="F179" t="s">
        <v>1354</v>
      </c>
      <c r="G179" t="s">
        <v>1355</v>
      </c>
      <c r="I179" t="s">
        <v>1361</v>
      </c>
      <c r="J179" s="3" t="s">
        <v>1894</v>
      </c>
      <c r="L179" s="1" t="s">
        <v>1377</v>
      </c>
    </row>
    <row r="180" spans="1:12" x14ac:dyDescent="0.3">
      <c r="A180" s="3" t="str">
        <f>HYPERLINK("https://www.accessdata.fda.gov/scripts/cder/daf/index.cfm?event=overview.process&amp;varApplNo=209394", "Mavyret")</f>
        <v>Mavyret</v>
      </c>
      <c r="B180" t="s">
        <v>1895</v>
      </c>
      <c r="C180" s="1">
        <v>42950</v>
      </c>
      <c r="D180" t="s">
        <v>1896</v>
      </c>
      <c r="E180" s="1">
        <v>42950</v>
      </c>
      <c r="F180" t="s">
        <v>1354</v>
      </c>
      <c r="G180" t="s">
        <v>1355</v>
      </c>
      <c r="H180" t="s">
        <v>1446</v>
      </c>
      <c r="I180" t="s">
        <v>1386</v>
      </c>
      <c r="J180" s="3" t="s">
        <v>1897</v>
      </c>
      <c r="L180" s="1">
        <v>42718</v>
      </c>
    </row>
    <row r="181" spans="1:12" x14ac:dyDescent="0.3">
      <c r="A181" s="3" t="str">
        <f>HYPERLINK("https://www.accessdata.fda.gov/scripts/cder/daf/index.cfm?event=overview.process&amp;varApplNo=209606", "Idhifa")</f>
        <v>Idhifa</v>
      </c>
      <c r="B181" t="s">
        <v>1898</v>
      </c>
      <c r="C181" s="1">
        <v>42948</v>
      </c>
      <c r="D181" t="s">
        <v>1899</v>
      </c>
      <c r="E181" s="1">
        <v>42948</v>
      </c>
      <c r="F181" t="s">
        <v>1354</v>
      </c>
      <c r="G181" t="s">
        <v>1355</v>
      </c>
      <c r="H181" t="s">
        <v>1356</v>
      </c>
      <c r="I181" t="s">
        <v>1386</v>
      </c>
      <c r="J181" s="3" t="s">
        <v>1900</v>
      </c>
      <c r="L181" s="1">
        <v>42734</v>
      </c>
    </row>
    <row r="182" spans="1:12" x14ac:dyDescent="0.3">
      <c r="A182" s="3" t="str">
        <f>HYPERLINK("https://www.accessdata.fda.gov/scripts/cder/daf/index.cfm?event=overview.process&amp;varApplNo=209195", "Vosevi")</f>
        <v>Vosevi</v>
      </c>
      <c r="B182" t="s">
        <v>1901</v>
      </c>
      <c r="C182" s="1">
        <v>42934</v>
      </c>
      <c r="D182" t="s">
        <v>1896</v>
      </c>
      <c r="E182" s="1">
        <v>42934</v>
      </c>
      <c r="F182" t="s">
        <v>1354</v>
      </c>
      <c r="G182" t="s">
        <v>1355</v>
      </c>
      <c r="H182" t="s">
        <v>1446</v>
      </c>
      <c r="I182" t="s">
        <v>1365</v>
      </c>
      <c r="J182" s="3" t="s">
        <v>1902</v>
      </c>
      <c r="L182" s="1">
        <v>42712</v>
      </c>
    </row>
    <row r="183" spans="1:12" x14ac:dyDescent="0.3">
      <c r="A183" s="3" t="str">
        <f>HYPERLINK("https://www.accessdata.fda.gov/scripts/cder/daf/index.cfm?event=overview.process&amp;varApplNo=208051", "Nerlynx")</f>
        <v>Nerlynx</v>
      </c>
      <c r="B183" t="s">
        <v>1903</v>
      </c>
      <c r="C183" s="1">
        <v>42933</v>
      </c>
      <c r="D183" t="s">
        <v>1904</v>
      </c>
      <c r="E183" s="1">
        <v>42933</v>
      </c>
      <c r="F183" t="s">
        <v>1354</v>
      </c>
      <c r="G183" t="s">
        <v>1355</v>
      </c>
      <c r="H183" t="s">
        <v>1356</v>
      </c>
      <c r="I183" t="s">
        <v>1357</v>
      </c>
      <c r="J183" s="3" t="s">
        <v>1905</v>
      </c>
      <c r="L183" s="1" t="s">
        <v>1906</v>
      </c>
    </row>
    <row r="184" spans="1:12" x14ac:dyDescent="0.3">
      <c r="A184" s="3" t="str">
        <f>HYPERLINK("https://www.accessdata.fda.gov/scripts/cder/daf/index.cfm?event=overview.process&amp;varApplNo=761061", "Tremfya")</f>
        <v>Tremfya</v>
      </c>
      <c r="B184" t="s">
        <v>1907</v>
      </c>
      <c r="C184" s="1">
        <v>42929</v>
      </c>
      <c r="D184" t="s">
        <v>1908</v>
      </c>
      <c r="E184" s="1">
        <v>42929</v>
      </c>
      <c r="F184" t="s">
        <v>1354</v>
      </c>
      <c r="G184" t="s">
        <v>1355</v>
      </c>
      <c r="I184" t="s">
        <v>1282</v>
      </c>
      <c r="J184" s="3" t="s">
        <v>1909</v>
      </c>
      <c r="L184" s="1" t="s">
        <v>1377</v>
      </c>
    </row>
    <row r="185" spans="1:12" x14ac:dyDescent="0.3">
      <c r="A185" s="3" t="str">
        <f>HYPERLINK("https://www.accessdata.fda.gov/scripts/cder/daf/index.cfm?event=overview.process&amp;varApplNo=208383", "Bevyxxa")</f>
        <v>Bevyxxa</v>
      </c>
      <c r="B185" t="s">
        <v>1910</v>
      </c>
      <c r="C185" s="1">
        <v>42909</v>
      </c>
      <c r="D185" t="s">
        <v>1911</v>
      </c>
      <c r="E185" s="1">
        <v>42909</v>
      </c>
      <c r="F185" t="s">
        <v>1354</v>
      </c>
      <c r="G185" t="s">
        <v>1355</v>
      </c>
      <c r="H185" t="s">
        <v>1356</v>
      </c>
      <c r="I185" t="s">
        <v>1365</v>
      </c>
      <c r="J185" s="3" t="s">
        <v>1912</v>
      </c>
      <c r="L185" s="1">
        <v>42666</v>
      </c>
    </row>
    <row r="186" spans="1:12" x14ac:dyDescent="0.3">
      <c r="A186" s="3" t="str">
        <f>HYPERLINK("https://www.accessdata.fda.gov/scripts/cder/daf/index.cfm?event=overview.process&amp;varApplNo=208610", "Baxdela")</f>
        <v>Baxdela</v>
      </c>
      <c r="B186" t="s">
        <v>1913</v>
      </c>
      <c r="C186" s="1">
        <v>42905</v>
      </c>
      <c r="D186" t="s">
        <v>1914</v>
      </c>
      <c r="E186" s="1">
        <v>42905</v>
      </c>
      <c r="F186" t="s">
        <v>1354</v>
      </c>
      <c r="G186" t="s">
        <v>1355</v>
      </c>
      <c r="H186" t="s">
        <v>1356</v>
      </c>
      <c r="I186" t="s">
        <v>1365</v>
      </c>
      <c r="J186" s="3" t="s">
        <v>1915</v>
      </c>
      <c r="K186" s="3" t="s">
        <v>1891</v>
      </c>
      <c r="L186" s="1">
        <v>42661</v>
      </c>
    </row>
    <row r="187" spans="1:12" x14ac:dyDescent="0.3">
      <c r="A187" s="3" t="str">
        <f>HYPERLINK("https://www.accessdata.fda.gov/scripts/cder/daf/index.cfm?event=overview.process&amp;varApplNo=761037", "Kevzara")</f>
        <v>Kevzara</v>
      </c>
      <c r="B187" t="s">
        <v>1916</v>
      </c>
      <c r="C187" s="1">
        <v>42877</v>
      </c>
      <c r="D187" t="s">
        <v>1917</v>
      </c>
      <c r="E187" s="1">
        <v>42877</v>
      </c>
      <c r="F187" t="s">
        <v>1354</v>
      </c>
      <c r="G187" t="s">
        <v>1355</v>
      </c>
      <c r="I187" t="s">
        <v>1282</v>
      </c>
      <c r="J187" s="3" t="s">
        <v>1918</v>
      </c>
      <c r="L187" s="1">
        <v>42307</v>
      </c>
    </row>
    <row r="188" spans="1:12" x14ac:dyDescent="0.3">
      <c r="A188" s="3" t="str">
        <f>HYPERLINK("https://www.accessdata.fda.gov/scripts/cder/daf/index.cfm?event=overview.process&amp;varApplNo=209176", "Radicava")</f>
        <v>Radicava</v>
      </c>
      <c r="B188" t="s">
        <v>1919</v>
      </c>
      <c r="C188" s="1">
        <v>42860</v>
      </c>
      <c r="D188" t="s">
        <v>1920</v>
      </c>
      <c r="E188" s="1">
        <v>42860</v>
      </c>
      <c r="F188" t="s">
        <v>1354</v>
      </c>
      <c r="G188" t="s">
        <v>1355</v>
      </c>
      <c r="H188" t="s">
        <v>1356</v>
      </c>
      <c r="I188" t="s">
        <v>1375</v>
      </c>
      <c r="J188" s="3" t="s">
        <v>1921</v>
      </c>
      <c r="L188" s="1">
        <v>42537</v>
      </c>
    </row>
    <row r="189" spans="1:12" x14ac:dyDescent="0.3">
      <c r="A189" s="3" t="str">
        <f>HYPERLINK("https://www.accessdata.fda.gov/scripts/cder/daf/index.cfm?event=overview.process&amp;varApplNo=761069", "Imfinzi")</f>
        <v>Imfinzi</v>
      </c>
      <c r="B189" t="s">
        <v>1922</v>
      </c>
      <c r="C189" s="1">
        <v>42856</v>
      </c>
      <c r="D189" t="s">
        <v>1923</v>
      </c>
      <c r="E189" s="1">
        <v>42856</v>
      </c>
      <c r="F189" t="s">
        <v>1354</v>
      </c>
      <c r="G189" t="s">
        <v>1355</v>
      </c>
      <c r="I189" t="s">
        <v>1282</v>
      </c>
      <c r="J189" s="3" t="s">
        <v>1924</v>
      </c>
      <c r="L189" s="1">
        <v>42656</v>
      </c>
    </row>
    <row r="190" spans="1:12" x14ac:dyDescent="0.3">
      <c r="A190" s="3" t="str">
        <f>HYPERLINK("https://www.accessdata.fda.gov/scripts/cder/daf/index.cfm?event=overview.process&amp;varApplNo=208743", "Tymlos")</f>
        <v>Tymlos</v>
      </c>
      <c r="B190" t="s">
        <v>1925</v>
      </c>
      <c r="C190" s="1">
        <v>42853</v>
      </c>
      <c r="D190" t="s">
        <v>1926</v>
      </c>
      <c r="E190" s="1">
        <v>42853</v>
      </c>
      <c r="F190" t="s">
        <v>1354</v>
      </c>
      <c r="G190" t="s">
        <v>1355</v>
      </c>
      <c r="H190" t="s">
        <v>1446</v>
      </c>
      <c r="I190" t="s">
        <v>1357</v>
      </c>
      <c r="J190" s="3" t="s">
        <v>1927</v>
      </c>
      <c r="L190" s="1">
        <v>42459</v>
      </c>
    </row>
    <row r="191" spans="1:12" x14ac:dyDescent="0.3">
      <c r="A191" s="3" t="str">
        <f>HYPERLINK("https://www.accessdata.fda.gov/scripts/cder/daf/index.cfm?event=overview.process&amp;varApplNo=207997", "Rydapt")</f>
        <v>Rydapt</v>
      </c>
      <c r="B191" t="s">
        <v>1928</v>
      </c>
      <c r="C191" s="1">
        <v>42853</v>
      </c>
      <c r="D191" t="s">
        <v>1929</v>
      </c>
      <c r="E191" s="1">
        <v>42853</v>
      </c>
      <c r="F191" t="s">
        <v>1563</v>
      </c>
      <c r="G191" t="s">
        <v>1355</v>
      </c>
      <c r="H191" t="s">
        <v>1356</v>
      </c>
      <c r="I191" t="s">
        <v>1386</v>
      </c>
      <c r="J191" s="3" t="s">
        <v>1930</v>
      </c>
      <c r="L191" s="1">
        <v>42611</v>
      </c>
    </row>
    <row r="192" spans="1:12" x14ac:dyDescent="0.3">
      <c r="A192" s="3" t="str">
        <f>HYPERLINK("https://www.accessdata.fda.gov/scripts/cder/daf/index.cfm?event=overview.process&amp;varApplNo=208772", "Alunbrig")</f>
        <v>Alunbrig</v>
      </c>
      <c r="B192" t="s">
        <v>1931</v>
      </c>
      <c r="C192" s="1">
        <v>42853</v>
      </c>
      <c r="D192" t="s">
        <v>1932</v>
      </c>
      <c r="E192" s="1">
        <v>42853</v>
      </c>
      <c r="F192" t="s">
        <v>1354</v>
      </c>
      <c r="G192" t="s">
        <v>1355</v>
      </c>
      <c r="H192" t="s">
        <v>1356</v>
      </c>
      <c r="I192" t="s">
        <v>1386</v>
      </c>
      <c r="J192" s="3" t="s">
        <v>1933</v>
      </c>
      <c r="L192" s="1">
        <v>42611</v>
      </c>
    </row>
    <row r="193" spans="1:12" x14ac:dyDescent="0.3">
      <c r="A193" s="3" t="str">
        <f>HYPERLINK("https://www.accessdata.fda.gov/scripts/cder/daf/index.cfm?event=overview.process&amp;varApplNo=761052", "Brineura")</f>
        <v>Brineura</v>
      </c>
      <c r="B193" t="s">
        <v>1934</v>
      </c>
      <c r="C193" s="1">
        <v>42852</v>
      </c>
      <c r="D193" t="s">
        <v>1935</v>
      </c>
      <c r="E193" s="1">
        <v>42852</v>
      </c>
      <c r="F193" t="s">
        <v>1354</v>
      </c>
      <c r="G193" t="s">
        <v>1355</v>
      </c>
      <c r="I193" t="s">
        <v>1361</v>
      </c>
      <c r="J193" s="3" t="s">
        <v>1936</v>
      </c>
      <c r="L193" s="1">
        <v>42517</v>
      </c>
    </row>
    <row r="194" spans="1:12" x14ac:dyDescent="0.3">
      <c r="A194" s="3" t="str">
        <f>HYPERLINK("https://www.accessdata.fda.gov/scripts/cder/daf/index.cfm?event=overview.process&amp;varApplNo=209241", "Ingrezza")</f>
        <v>Ingrezza</v>
      </c>
      <c r="B194" t="s">
        <v>1937</v>
      </c>
      <c r="C194" s="1">
        <v>42836</v>
      </c>
      <c r="D194" t="s">
        <v>1938</v>
      </c>
      <c r="E194" s="1">
        <v>42836</v>
      </c>
      <c r="F194" t="s">
        <v>1354</v>
      </c>
      <c r="G194" t="s">
        <v>1355</v>
      </c>
      <c r="H194" t="s">
        <v>1356</v>
      </c>
      <c r="I194" t="s">
        <v>1365</v>
      </c>
      <c r="J194" s="3" t="s">
        <v>1939</v>
      </c>
      <c r="L194" s="1">
        <v>42593</v>
      </c>
    </row>
    <row r="195" spans="1:12" x14ac:dyDescent="0.3">
      <c r="A195" s="3" t="str">
        <f>HYPERLINK("https://www.accessdata.fda.gov/scripts/cder/daf/index.cfm?event=overview.process&amp;varApplNo=208082", "Austedo")</f>
        <v>Austedo</v>
      </c>
      <c r="B195" t="s">
        <v>1940</v>
      </c>
      <c r="C195" s="1">
        <v>42828</v>
      </c>
      <c r="D195" t="s">
        <v>1941</v>
      </c>
      <c r="E195" s="1">
        <v>42828</v>
      </c>
      <c r="F195" t="s">
        <v>1354</v>
      </c>
      <c r="G195" t="s">
        <v>1355</v>
      </c>
      <c r="H195" t="s">
        <v>1356</v>
      </c>
      <c r="I195" t="s">
        <v>1375</v>
      </c>
      <c r="J195" s="3" t="s">
        <v>1942</v>
      </c>
      <c r="L195" s="1">
        <v>42153</v>
      </c>
    </row>
    <row r="196" spans="1:12" x14ac:dyDescent="0.3">
      <c r="A196" s="3" t="str">
        <f>HYPERLINK("https://www.accessdata.fda.gov/scripts/cder/daf/index.cfm?event=overview.process&amp;varApplNo=761053", "Ocrevus")</f>
        <v>Ocrevus</v>
      </c>
      <c r="B196" t="s">
        <v>1943</v>
      </c>
      <c r="C196" s="1">
        <v>42822</v>
      </c>
      <c r="D196" t="s">
        <v>1944</v>
      </c>
      <c r="E196" s="1">
        <v>42822</v>
      </c>
      <c r="F196" t="s">
        <v>1354</v>
      </c>
      <c r="G196" t="s">
        <v>1355</v>
      </c>
      <c r="I196" t="s">
        <v>1282</v>
      </c>
      <c r="J196" s="3" t="s">
        <v>1945</v>
      </c>
      <c r="L196" s="1" t="s">
        <v>1377</v>
      </c>
    </row>
    <row r="197" spans="1:12" x14ac:dyDescent="0.3">
      <c r="A197" s="3" t="str">
        <f>HYPERLINK("https://www.accessdata.fda.gov/scripts/cder/daf/index.cfm?event=overview.process&amp;varApplNo=761055", "Dupixent")</f>
        <v>Dupixent</v>
      </c>
      <c r="B197" t="s">
        <v>1946</v>
      </c>
      <c r="C197" s="1">
        <v>42822</v>
      </c>
      <c r="D197" t="s">
        <v>1947</v>
      </c>
      <c r="E197" s="1">
        <v>42822</v>
      </c>
      <c r="F197" t="s">
        <v>1354</v>
      </c>
      <c r="G197" t="s">
        <v>1355</v>
      </c>
      <c r="I197" t="s">
        <v>1282</v>
      </c>
      <c r="J197" s="3" t="s">
        <v>1948</v>
      </c>
      <c r="L197" s="1" t="s">
        <v>1377</v>
      </c>
    </row>
    <row r="198" spans="1:12" x14ac:dyDescent="0.3">
      <c r="A198" s="3" t="str">
        <f>HYPERLINK("https://www.accessdata.fda.gov/scripts/cder/daf/index.cfm?event=overview.process&amp;varApplNo=208447", "Zejula")</f>
        <v>Zejula</v>
      </c>
      <c r="B198" t="s">
        <v>1949</v>
      </c>
      <c r="C198" s="1">
        <v>42821</v>
      </c>
      <c r="D198" t="s">
        <v>1950</v>
      </c>
      <c r="E198" s="1">
        <v>42821</v>
      </c>
      <c r="F198" t="s">
        <v>1354</v>
      </c>
      <c r="G198" t="s">
        <v>1355</v>
      </c>
      <c r="H198" t="s">
        <v>1356</v>
      </c>
      <c r="I198" t="s">
        <v>1386</v>
      </c>
      <c r="J198" s="3" t="s">
        <v>1951</v>
      </c>
      <c r="L198" s="1">
        <v>43039</v>
      </c>
    </row>
    <row r="199" spans="1:12" x14ac:dyDescent="0.3">
      <c r="A199" s="3" t="str">
        <f>HYPERLINK("https://www.accessdata.fda.gov/scripts/cder/daf/index.cfm?event=overview.process&amp;varApplNo=208854", "Symproic")</f>
        <v>Symproic</v>
      </c>
      <c r="B199" t="s">
        <v>1952</v>
      </c>
      <c r="C199" s="1">
        <v>42817</v>
      </c>
      <c r="D199" t="s">
        <v>1953</v>
      </c>
      <c r="E199" s="1">
        <v>42817</v>
      </c>
      <c r="F199" t="s">
        <v>1354</v>
      </c>
      <c r="G199" t="s">
        <v>1355</v>
      </c>
      <c r="H199" t="s">
        <v>1356</v>
      </c>
      <c r="I199" t="s">
        <v>1357</v>
      </c>
      <c r="J199" s="3" t="s">
        <v>1954</v>
      </c>
      <c r="L199" s="1">
        <v>42452</v>
      </c>
    </row>
    <row r="200" spans="1:12" x14ac:dyDescent="0.3">
      <c r="A200" s="3" t="str">
        <f>HYPERLINK("https://www.accessdata.fda.gov/scripts/cder/daf/index.cfm?event=overview.process&amp;varApplNo=761049", "Bavencio")</f>
        <v>Bavencio</v>
      </c>
      <c r="B200" t="s">
        <v>1955</v>
      </c>
      <c r="C200" s="1">
        <v>42817</v>
      </c>
      <c r="D200" t="s">
        <v>1956</v>
      </c>
      <c r="E200" s="1">
        <v>42817</v>
      </c>
      <c r="F200" t="s">
        <v>1354</v>
      </c>
      <c r="G200" t="s">
        <v>1355</v>
      </c>
      <c r="I200" t="s">
        <v>1361</v>
      </c>
      <c r="J200" s="3" t="s">
        <v>1957</v>
      </c>
      <c r="L200" s="1">
        <v>42636</v>
      </c>
    </row>
    <row r="201" spans="1:12" x14ac:dyDescent="0.3">
      <c r="A201" s="3" t="str">
        <f>HYPERLINK("https://www.accessdata.fda.gov/scripts/cder/daf/index.cfm?event=overview.process&amp;varApplNo=207145", "Xadago")</f>
        <v>Xadago</v>
      </c>
      <c r="B201" t="s">
        <v>1958</v>
      </c>
      <c r="C201" s="1">
        <v>42815</v>
      </c>
      <c r="D201" t="s">
        <v>1959</v>
      </c>
      <c r="E201" s="1">
        <v>42815</v>
      </c>
      <c r="F201" t="s">
        <v>1354</v>
      </c>
      <c r="G201" t="s">
        <v>1355</v>
      </c>
      <c r="H201" t="s">
        <v>1356</v>
      </c>
      <c r="I201" t="s">
        <v>1357</v>
      </c>
      <c r="J201" s="3" t="s">
        <v>1960</v>
      </c>
      <c r="L201" s="1">
        <v>42367</v>
      </c>
    </row>
    <row r="202" spans="1:12" x14ac:dyDescent="0.3">
      <c r="A202" s="3" t="str">
        <f>HYPERLINK("https://www.accessdata.fda.gov/scripts/cder/daf/index.cfm?event=overview.process&amp;varApplNo=209092", "Kisqali")</f>
        <v>Kisqali</v>
      </c>
      <c r="B202" t="s">
        <v>1961</v>
      </c>
      <c r="C202" s="1">
        <v>42807</v>
      </c>
      <c r="D202" t="s">
        <v>1962</v>
      </c>
      <c r="E202" s="1">
        <v>42807</v>
      </c>
      <c r="F202" t="s">
        <v>1354</v>
      </c>
      <c r="G202" t="s">
        <v>1355</v>
      </c>
      <c r="H202" t="s">
        <v>1356</v>
      </c>
      <c r="I202" t="s">
        <v>1365</v>
      </c>
      <c r="J202" s="3" t="s">
        <v>1963</v>
      </c>
      <c r="L202" s="1">
        <v>42611</v>
      </c>
    </row>
    <row r="203" spans="1:12" x14ac:dyDescent="0.3">
      <c r="A203" s="3" t="str">
        <f>HYPERLINK("https://www.accessdata.fda.gov/scripts/cder/daf/index.cfm?event=overview.process&amp;varApplNo=208794", "Xermelo")</f>
        <v>Xermelo</v>
      </c>
      <c r="B203" t="s">
        <v>1964</v>
      </c>
      <c r="C203" s="1">
        <v>42794</v>
      </c>
      <c r="D203" t="s">
        <v>1965</v>
      </c>
      <c r="E203" s="1">
        <v>42794</v>
      </c>
      <c r="F203" t="s">
        <v>1354</v>
      </c>
      <c r="G203" t="s">
        <v>1355</v>
      </c>
      <c r="H203" t="s">
        <v>1356</v>
      </c>
      <c r="I203" t="s">
        <v>1386</v>
      </c>
      <c r="J203" s="3" t="s">
        <v>1966</v>
      </c>
      <c r="L203" s="1">
        <v>42459</v>
      </c>
    </row>
    <row r="204" spans="1:12" x14ac:dyDescent="0.3">
      <c r="A204" s="3" t="str">
        <f>HYPERLINK("https://www.accessdata.fda.gov/scripts/cder/daf/index.cfm?event=overview.process&amp;varApplNo=761032", "Siliq")</f>
        <v>Siliq</v>
      </c>
      <c r="B204" t="s">
        <v>1967</v>
      </c>
      <c r="C204" s="1">
        <v>42781</v>
      </c>
      <c r="D204" t="s">
        <v>1968</v>
      </c>
      <c r="E204" s="1">
        <v>42781</v>
      </c>
      <c r="F204" t="s">
        <v>1354</v>
      </c>
      <c r="G204" t="s">
        <v>1355</v>
      </c>
      <c r="I204" t="s">
        <v>1282</v>
      </c>
      <c r="J204" s="3" t="s">
        <v>1969</v>
      </c>
      <c r="L204" s="1">
        <v>42324</v>
      </c>
    </row>
    <row r="205" spans="1:12" x14ac:dyDescent="0.3">
      <c r="A205" s="3" t="str">
        <f>HYPERLINK("https://www.accessdata.fda.gov/scripts/cder/daf/index.cfm?event=overview.process&amp;varApplNo=208684", "Emflaza")</f>
        <v>Emflaza</v>
      </c>
      <c r="B205" t="s">
        <v>1970</v>
      </c>
      <c r="C205" s="1">
        <v>42775</v>
      </c>
      <c r="D205" t="s">
        <v>1971</v>
      </c>
      <c r="E205" s="1">
        <v>42775</v>
      </c>
      <c r="F205" t="s">
        <v>1354</v>
      </c>
      <c r="G205" t="s">
        <v>1355</v>
      </c>
      <c r="H205" t="s">
        <v>1356</v>
      </c>
      <c r="I205" t="s">
        <v>1386</v>
      </c>
      <c r="J205" s="3" t="s">
        <v>1972</v>
      </c>
      <c r="L205" s="1">
        <v>42530</v>
      </c>
    </row>
    <row r="206" spans="1:12" x14ac:dyDescent="0.3">
      <c r="A206" s="3" t="str">
        <f>HYPERLINK("https://www.accessdata.fda.gov/scripts/cder/daf/index.cfm?event=overview.process&amp;varApplNo=208325", "Parsabiv")</f>
        <v>Parsabiv</v>
      </c>
      <c r="B206" t="s">
        <v>1973</v>
      </c>
      <c r="C206" s="1">
        <v>42773</v>
      </c>
      <c r="D206" t="s">
        <v>1974</v>
      </c>
      <c r="E206" s="1">
        <v>42773</v>
      </c>
      <c r="F206" t="s">
        <v>1354</v>
      </c>
      <c r="G206" t="s">
        <v>1355</v>
      </c>
      <c r="H206" t="s">
        <v>1356</v>
      </c>
      <c r="I206" t="s">
        <v>1357</v>
      </c>
      <c r="J206" s="3" t="s">
        <v>1975</v>
      </c>
      <c r="L206" s="1">
        <v>42240</v>
      </c>
    </row>
    <row r="207" spans="1:12" x14ac:dyDescent="0.3">
      <c r="A207" s="3" t="str">
        <f>HYPERLINK("https://www.accessdata.fda.gov/scripts/cder/daf/index.cfm?event=overview.process&amp;varApplNo=208745", "Trulance")</f>
        <v>Trulance</v>
      </c>
      <c r="B207" t="s">
        <v>1976</v>
      </c>
      <c r="C207" s="1">
        <v>42754</v>
      </c>
      <c r="D207" t="s">
        <v>1977</v>
      </c>
      <c r="E207" s="1">
        <v>42754</v>
      </c>
      <c r="F207" t="s">
        <v>1354</v>
      </c>
      <c r="G207" t="s">
        <v>1355</v>
      </c>
      <c r="H207" t="s">
        <v>1356</v>
      </c>
      <c r="I207" t="s">
        <v>1357</v>
      </c>
      <c r="J207" s="3" t="s">
        <v>1978</v>
      </c>
      <c r="L207" s="1">
        <v>42398</v>
      </c>
    </row>
    <row r="208" spans="1:12" x14ac:dyDescent="0.3">
      <c r="A208" s="3" t="str">
        <f>HYPERLINK("https://www.accessdata.fda.gov/scripts/cder/daf/index.cfm?event=overview.process&amp;varApplNo=209531", "Spinraza")</f>
        <v>Spinraza</v>
      </c>
      <c r="B208" t="s">
        <v>1979</v>
      </c>
      <c r="C208" s="1">
        <v>42727</v>
      </c>
      <c r="D208" t="s">
        <v>1980</v>
      </c>
      <c r="E208" s="1">
        <v>42727</v>
      </c>
      <c r="F208" t="s">
        <v>1354</v>
      </c>
      <c r="G208" t="s">
        <v>1355</v>
      </c>
      <c r="H208" t="s">
        <v>1356</v>
      </c>
      <c r="I208" t="s">
        <v>1386</v>
      </c>
      <c r="J208" s="3" t="s">
        <v>1981</v>
      </c>
      <c r="L208" s="1">
        <v>42636</v>
      </c>
    </row>
    <row r="209" spans="1:12" x14ac:dyDescent="0.3">
      <c r="A209" s="3" t="str">
        <f>HYPERLINK("https://www.accessdata.fda.gov/scripts/cder/daf/index.cfm?event=overview.process&amp;varApplNo=209115", "Rubraca")</f>
        <v>Rubraca</v>
      </c>
      <c r="B209" t="s">
        <v>1982</v>
      </c>
      <c r="C209" s="1">
        <v>42723</v>
      </c>
      <c r="D209" t="s">
        <v>1983</v>
      </c>
      <c r="E209" s="1">
        <v>42723</v>
      </c>
      <c r="F209" t="s">
        <v>1354</v>
      </c>
      <c r="G209" t="s">
        <v>1355</v>
      </c>
      <c r="H209" t="s">
        <v>1356</v>
      </c>
      <c r="I209" t="s">
        <v>1386</v>
      </c>
      <c r="J209" s="3" t="s">
        <v>1984</v>
      </c>
      <c r="L209" s="1">
        <v>42544</v>
      </c>
    </row>
    <row r="210" spans="1:12" x14ac:dyDescent="0.3">
      <c r="A210" s="3" t="str">
        <f>HYPERLINK("https://www.accessdata.fda.gov/scripts/cder/daf/index.cfm?event=overview.process&amp;varApplNo=207695", "Eucrisa")</f>
        <v>Eucrisa</v>
      </c>
      <c r="B210" t="s">
        <v>1985</v>
      </c>
      <c r="C210" s="1">
        <v>42718</v>
      </c>
      <c r="D210" t="s">
        <v>1986</v>
      </c>
      <c r="E210" s="1">
        <v>42718</v>
      </c>
      <c r="F210" t="s">
        <v>1354</v>
      </c>
      <c r="G210" t="s">
        <v>1355</v>
      </c>
      <c r="H210" t="s">
        <v>1356</v>
      </c>
      <c r="I210" t="s">
        <v>1357</v>
      </c>
      <c r="J210" s="3" t="s">
        <v>1987</v>
      </c>
      <c r="L210" s="1">
        <v>42376</v>
      </c>
    </row>
    <row r="211" spans="1:12" x14ac:dyDescent="0.3">
      <c r="A211" s="3" t="str">
        <f>HYPERLINK("https://www.accessdata.fda.gov/scripts/cder/daf/index.cfm?event=overview.process&amp;varApplNo=761046", "Zinplava")</f>
        <v>Zinplava</v>
      </c>
      <c r="B211" t="s">
        <v>1988</v>
      </c>
      <c r="C211" s="1">
        <v>42664</v>
      </c>
      <c r="D211" t="s">
        <v>1989</v>
      </c>
      <c r="E211" s="1">
        <v>42664</v>
      </c>
      <c r="F211" t="s">
        <v>1354</v>
      </c>
      <c r="G211" t="s">
        <v>1355</v>
      </c>
      <c r="I211" t="s">
        <v>1282</v>
      </c>
      <c r="J211" s="3" t="s">
        <v>1990</v>
      </c>
      <c r="L211" s="1">
        <v>42325</v>
      </c>
    </row>
    <row r="212" spans="1:12" x14ac:dyDescent="0.3">
      <c r="A212" s="3" t="str">
        <f>HYPERLINK("https://www.accessdata.fda.gov/scripts/cder/daf/index.cfm?event=overview.process&amp;varApplNo=761038", "Lartruvo")</f>
        <v>Lartruvo</v>
      </c>
      <c r="B212" t="s">
        <v>1991</v>
      </c>
      <c r="C212" s="1">
        <v>42662</v>
      </c>
      <c r="D212" t="s">
        <v>1992</v>
      </c>
      <c r="E212" s="1">
        <v>42662</v>
      </c>
      <c r="F212" t="s">
        <v>1354</v>
      </c>
      <c r="G212" t="s">
        <v>1355</v>
      </c>
      <c r="I212" t="s">
        <v>1361</v>
      </c>
      <c r="J212" s="3" t="s">
        <v>1993</v>
      </c>
      <c r="L212" s="1">
        <v>42424</v>
      </c>
    </row>
    <row r="213" spans="1:12" x14ac:dyDescent="0.3">
      <c r="A213" s="3" t="str">
        <f>HYPERLINK("https://www.accessdata.fda.gov/scripts/cder/daf/index.cfm?event=overview.process&amp;varApplNo=206488", "Exondys 51")</f>
        <v>Exondys 51</v>
      </c>
      <c r="B213" t="s">
        <v>1994</v>
      </c>
      <c r="C213" s="1">
        <v>42632</v>
      </c>
      <c r="D213" t="s">
        <v>1995</v>
      </c>
      <c r="E213" s="1">
        <v>42632</v>
      </c>
      <c r="F213" t="s">
        <v>1354</v>
      </c>
      <c r="G213" t="s">
        <v>1355</v>
      </c>
      <c r="H213" t="s">
        <v>1356</v>
      </c>
      <c r="I213" t="s">
        <v>1386</v>
      </c>
      <c r="J213" s="3" t="s">
        <v>1996</v>
      </c>
      <c r="L213" s="1">
        <v>42181</v>
      </c>
    </row>
    <row r="214" spans="1:12" x14ac:dyDescent="0.3">
      <c r="A214" s="3" t="str">
        <f>HYPERLINK("https://www.accessdata.fda.gov/scripts/cder/daf/index.cfm?event=overview.process&amp;varApplNo=208471", "Adlyxin")</f>
        <v>Adlyxin</v>
      </c>
      <c r="B214" t="s">
        <v>1997</v>
      </c>
      <c r="C214" s="1">
        <v>42578</v>
      </c>
      <c r="D214" t="s">
        <v>1998</v>
      </c>
      <c r="E214" s="1">
        <v>42578</v>
      </c>
      <c r="F214" t="s">
        <v>1354</v>
      </c>
      <c r="G214" t="s">
        <v>1355</v>
      </c>
      <c r="I214" t="s">
        <v>1282</v>
      </c>
      <c r="J214" s="3" t="s">
        <v>1999</v>
      </c>
      <c r="L214" s="1">
        <v>42212</v>
      </c>
    </row>
    <row r="215" spans="1:12" x14ac:dyDescent="0.3">
      <c r="A215" s="3" t="str">
        <f>HYPERLINK("https://www.accessdata.fda.gov/scripts/cder/daf/index.cfm?event=overview.process&amp;varApplNo=208073", "Xiidra")</f>
        <v>Xiidra</v>
      </c>
      <c r="B215" t="s">
        <v>2000</v>
      </c>
      <c r="C215" s="1">
        <v>42562</v>
      </c>
      <c r="D215" t="s">
        <v>2001</v>
      </c>
      <c r="E215" s="1">
        <v>42562</v>
      </c>
      <c r="F215" t="s">
        <v>1354</v>
      </c>
      <c r="G215" t="s">
        <v>1355</v>
      </c>
      <c r="H215" t="s">
        <v>1356</v>
      </c>
      <c r="I215" t="s">
        <v>1365</v>
      </c>
      <c r="J215" s="3" t="s">
        <v>2002</v>
      </c>
      <c r="L215" s="1">
        <v>42060</v>
      </c>
    </row>
    <row r="216" spans="1:12" x14ac:dyDescent="0.3">
      <c r="A216" s="3" t="str">
        <f>HYPERLINK("https://www.accessdata.fda.gov/scripts/cder/daf/index.cfm?event=overview.process&amp;varApplNo=208341", "Epclusa")</f>
        <v>Epclusa</v>
      </c>
      <c r="B216" t="s">
        <v>2003</v>
      </c>
      <c r="C216" s="1">
        <v>42549</v>
      </c>
      <c r="D216" t="s">
        <v>2004</v>
      </c>
      <c r="E216" s="1">
        <v>42549</v>
      </c>
      <c r="F216" t="s">
        <v>1354</v>
      </c>
      <c r="G216" t="s">
        <v>1355</v>
      </c>
      <c r="H216" t="s">
        <v>1446</v>
      </c>
      <c r="I216" t="s">
        <v>1365</v>
      </c>
      <c r="J216" s="3" t="s">
        <v>2005</v>
      </c>
      <c r="L216" s="1">
        <v>42305</v>
      </c>
    </row>
    <row r="217" spans="1:12" x14ac:dyDescent="0.3">
      <c r="A217" s="3" t="str">
        <f>HYPERLINK("https://www.accessdata.fda.gov/scripts/cder/daf/index.cfm?event=overview.process&amp;varApplNo=208547", "NETSPOT")</f>
        <v>NETSPOT</v>
      </c>
      <c r="B217" t="s">
        <v>2006</v>
      </c>
      <c r="C217" s="1">
        <v>42522</v>
      </c>
      <c r="D217" t="s">
        <v>2007</v>
      </c>
      <c r="E217" s="1">
        <v>42522</v>
      </c>
      <c r="F217" t="s">
        <v>1354</v>
      </c>
      <c r="G217" t="s">
        <v>1355</v>
      </c>
      <c r="H217" t="s">
        <v>1356</v>
      </c>
      <c r="I217" t="s">
        <v>1386</v>
      </c>
      <c r="J217" s="3" t="s">
        <v>2008</v>
      </c>
      <c r="L217" s="1">
        <v>42186</v>
      </c>
    </row>
    <row r="218" spans="1:12" x14ac:dyDescent="0.3">
      <c r="A218" s="3" t="str">
        <f>HYPERLINK("https://www.accessdata.fda.gov/scripts/cder/daf/index.cfm?event=overview.process&amp;varApplNo=208054", "Axumin")</f>
        <v>Axumin</v>
      </c>
      <c r="B218" t="s">
        <v>2009</v>
      </c>
      <c r="C218" s="1">
        <v>42517</v>
      </c>
      <c r="D218" t="s">
        <v>2010</v>
      </c>
      <c r="E218" s="1">
        <v>42517</v>
      </c>
      <c r="F218" t="s">
        <v>1354</v>
      </c>
      <c r="G218" t="s">
        <v>1355</v>
      </c>
      <c r="H218" t="s">
        <v>1356</v>
      </c>
      <c r="I218" t="s">
        <v>1365</v>
      </c>
      <c r="J218" s="3" t="s">
        <v>2011</v>
      </c>
      <c r="L218" s="1">
        <v>42275</v>
      </c>
    </row>
    <row r="219" spans="1:12" x14ac:dyDescent="0.3">
      <c r="A219" s="3" t="str">
        <f>HYPERLINK("https://www.accessdata.fda.gov/scripts/cder/daf/index.cfm?event=overview.process&amp;varApplNo=207999", "Ocaliva")</f>
        <v>Ocaliva</v>
      </c>
      <c r="B219" t="s">
        <v>2012</v>
      </c>
      <c r="C219" s="1">
        <v>42517</v>
      </c>
      <c r="D219" t="s">
        <v>2013</v>
      </c>
      <c r="E219" s="1">
        <v>42517</v>
      </c>
      <c r="F219" t="s">
        <v>1354</v>
      </c>
      <c r="G219" t="s">
        <v>1355</v>
      </c>
      <c r="H219" t="s">
        <v>1356</v>
      </c>
      <c r="I219" t="s">
        <v>1386</v>
      </c>
      <c r="J219" s="3" t="s">
        <v>2014</v>
      </c>
      <c r="L219" s="1">
        <v>42182</v>
      </c>
    </row>
    <row r="220" spans="1:12" x14ac:dyDescent="0.3">
      <c r="A220" s="3" t="str">
        <f>HYPERLINK("https://www.accessdata.fda.gov/scripts/cder/daf/index.cfm?event=overview.process&amp;varApplNo=761029", "Zinbryta")</f>
        <v>Zinbryta</v>
      </c>
      <c r="B220" t="s">
        <v>2015</v>
      </c>
      <c r="C220" s="1">
        <v>42517</v>
      </c>
      <c r="D220" t="s">
        <v>2016</v>
      </c>
      <c r="E220" s="1">
        <v>42517</v>
      </c>
      <c r="F220" t="s">
        <v>1354</v>
      </c>
      <c r="G220" t="s">
        <v>1355</v>
      </c>
      <c r="I220" t="s">
        <v>1282</v>
      </c>
      <c r="J220" s="3" t="s">
        <v>2017</v>
      </c>
      <c r="L220" s="1">
        <v>42062</v>
      </c>
    </row>
    <row r="221" spans="1:12" x14ac:dyDescent="0.3">
      <c r="A221" s="3" t="str">
        <f>HYPERLINK("https://www.accessdata.fda.gov/scripts/cder/daf/index.cfm?event=overview.process&amp;varApplNo=761034", "Tecentriq")</f>
        <v>Tecentriq</v>
      </c>
      <c r="B221" t="s">
        <v>2018</v>
      </c>
      <c r="C221" s="1">
        <v>42508</v>
      </c>
      <c r="D221" t="s">
        <v>2019</v>
      </c>
      <c r="E221" s="1">
        <v>42508</v>
      </c>
      <c r="F221" t="s">
        <v>1354</v>
      </c>
      <c r="G221" t="s">
        <v>1355</v>
      </c>
      <c r="I221" t="s">
        <v>1282</v>
      </c>
      <c r="J221" s="3" t="s">
        <v>2020</v>
      </c>
      <c r="L221" s="1">
        <v>42381</v>
      </c>
    </row>
    <row r="222" spans="1:12" x14ac:dyDescent="0.3">
      <c r="A222" s="3" t="str">
        <f>HYPERLINK("https://www.accessdata.fda.gov/scripts/cder/daf/index.cfm?event=overview.process&amp;varApplNo=207318", "Nuplazid")</f>
        <v>Nuplazid</v>
      </c>
      <c r="B222" t="s">
        <v>2021</v>
      </c>
      <c r="C222" s="1">
        <v>42489</v>
      </c>
      <c r="D222" t="s">
        <v>2022</v>
      </c>
      <c r="E222" s="1">
        <v>42489</v>
      </c>
      <c r="F222" t="s">
        <v>1354</v>
      </c>
      <c r="G222" t="s">
        <v>1355</v>
      </c>
      <c r="H222" t="s">
        <v>1356</v>
      </c>
      <c r="I222" t="s">
        <v>1365</v>
      </c>
      <c r="J222" s="3" t="s">
        <v>2023</v>
      </c>
      <c r="L222" s="1">
        <v>42614</v>
      </c>
    </row>
    <row r="223" spans="1:12" x14ac:dyDescent="0.3">
      <c r="A223" s="3" t="str">
        <f>HYPERLINK("https://www.accessdata.fda.gov/scripts/cder/daf/index.cfm?event=overview.process&amp;varApplNo=208573", "Venclexta")</f>
        <v>Venclexta</v>
      </c>
      <c r="B223" t="s">
        <v>2024</v>
      </c>
      <c r="C223" s="1">
        <v>42471</v>
      </c>
      <c r="D223" t="s">
        <v>2025</v>
      </c>
      <c r="E223" s="1">
        <v>42471</v>
      </c>
      <c r="F223" t="s">
        <v>1354</v>
      </c>
      <c r="G223" t="s">
        <v>1355</v>
      </c>
      <c r="H223" t="s">
        <v>1356</v>
      </c>
      <c r="I223" t="s">
        <v>1386</v>
      </c>
      <c r="J223" s="3" t="s">
        <v>2026</v>
      </c>
      <c r="L223" s="1">
        <v>42306</v>
      </c>
    </row>
    <row r="224" spans="1:12" x14ac:dyDescent="0.3">
      <c r="A224" s="3" t="str">
        <f>HYPERLINK("https://www.accessdata.fda.gov/scripts/cder/daf/index.cfm?event=overview.process&amp;varApplNo=208114", "Defitelio")</f>
        <v>Defitelio</v>
      </c>
      <c r="B224" t="s">
        <v>2027</v>
      </c>
      <c r="C224" s="1">
        <v>42459</v>
      </c>
      <c r="D224" t="s">
        <v>2028</v>
      </c>
      <c r="E224" s="1">
        <v>42459</v>
      </c>
      <c r="F224" t="s">
        <v>1354</v>
      </c>
      <c r="G224" t="s">
        <v>1355</v>
      </c>
      <c r="H224" t="s">
        <v>1356</v>
      </c>
      <c r="I224" t="s">
        <v>1386</v>
      </c>
      <c r="J224" s="3" t="s">
        <v>2029</v>
      </c>
      <c r="L224" s="1">
        <v>42215</v>
      </c>
    </row>
    <row r="225" spans="1:12" x14ac:dyDescent="0.3">
      <c r="A225" s="3" t="str">
        <f>HYPERLINK("https://www.accessdata.fda.gov/scripts/cder/daf/index.cfm?event=overview.process&amp;varApplNo=761033", "Cinqair")</f>
        <v>Cinqair</v>
      </c>
      <c r="B225" t="s">
        <v>2030</v>
      </c>
      <c r="C225" s="1">
        <v>42452</v>
      </c>
      <c r="D225" t="s">
        <v>2031</v>
      </c>
      <c r="E225" s="1">
        <v>42452</v>
      </c>
      <c r="F225" t="s">
        <v>1354</v>
      </c>
      <c r="G225" t="s">
        <v>1355</v>
      </c>
      <c r="I225" t="s">
        <v>1282</v>
      </c>
      <c r="J225" s="3" t="s">
        <v>2032</v>
      </c>
      <c r="L225" s="1">
        <v>42092</v>
      </c>
    </row>
    <row r="226" spans="1:12" x14ac:dyDescent="0.3">
      <c r="A226" s="3" t="str">
        <f>HYPERLINK("https://www.accessdata.fda.gov/scripts/cder/daf/index.cfm?event=overview.process&amp;varApplNo=125521", "Taltz")</f>
        <v>Taltz</v>
      </c>
      <c r="B226" t="s">
        <v>2033</v>
      </c>
      <c r="C226" s="1">
        <v>42451</v>
      </c>
      <c r="D226" t="s">
        <v>2034</v>
      </c>
      <c r="E226" s="1">
        <v>42451</v>
      </c>
      <c r="F226" t="s">
        <v>1354</v>
      </c>
      <c r="G226" t="s">
        <v>1355</v>
      </c>
      <c r="I226" t="s">
        <v>1282</v>
      </c>
      <c r="J226" s="3" t="s">
        <v>2035</v>
      </c>
      <c r="L226" s="1">
        <v>42086</v>
      </c>
    </row>
    <row r="227" spans="1:12" x14ac:dyDescent="0.3">
      <c r="A227" s="3" t="str">
        <f>HYPERLINK("https://www.accessdata.fda.gov/scripts/cder/daf/index.cfm?event=overview.process&amp;varApplNo=125509", "Anthim")</f>
        <v>Anthim</v>
      </c>
      <c r="B227" t="s">
        <v>2036</v>
      </c>
      <c r="C227" s="1">
        <v>42447</v>
      </c>
      <c r="D227" t="s">
        <v>2037</v>
      </c>
      <c r="E227" s="1">
        <v>42447</v>
      </c>
      <c r="F227" t="s">
        <v>1354</v>
      </c>
      <c r="G227" t="s">
        <v>1355</v>
      </c>
      <c r="I227" t="s">
        <v>1361</v>
      </c>
      <c r="J227" s="3" t="s">
        <v>2038</v>
      </c>
      <c r="L227" s="1" t="s">
        <v>1377</v>
      </c>
    </row>
    <row r="228" spans="1:12" x14ac:dyDescent="0.3">
      <c r="A228" s="3" t="str">
        <f>HYPERLINK("https://www.accessdata.fda.gov/scripts/cder/daf/index.cfm?event=overview.process&amp;varApplNo=205836", "Briviact")</f>
        <v>Briviact</v>
      </c>
      <c r="B228" t="s">
        <v>2039</v>
      </c>
      <c r="C228" s="1">
        <v>42418</v>
      </c>
      <c r="D228" t="s">
        <v>2040</v>
      </c>
      <c r="E228" s="1">
        <v>42418</v>
      </c>
      <c r="F228" t="s">
        <v>1354</v>
      </c>
      <c r="G228" t="s">
        <v>1355</v>
      </c>
      <c r="H228" t="s">
        <v>1356</v>
      </c>
      <c r="I228" t="s">
        <v>1357</v>
      </c>
      <c r="J228" s="3" t="s">
        <v>2041</v>
      </c>
      <c r="L228" s="1">
        <v>41962</v>
      </c>
    </row>
    <row r="229" spans="1:12" x14ac:dyDescent="0.3">
      <c r="A229" s="3" t="str">
        <f>HYPERLINK("https://www.accessdata.fda.gov/scripts/cder/daf/index.cfm?event=overview.process&amp;varApplNo=208261", "Zepatier")</f>
        <v>Zepatier</v>
      </c>
      <c r="B229" t="s">
        <v>2042</v>
      </c>
      <c r="C229" s="1">
        <v>42397</v>
      </c>
      <c r="D229" t="s">
        <v>2043</v>
      </c>
      <c r="E229" s="1">
        <v>42397</v>
      </c>
      <c r="F229" t="s">
        <v>1354</v>
      </c>
      <c r="G229" t="s">
        <v>1355</v>
      </c>
      <c r="H229" t="s">
        <v>1446</v>
      </c>
      <c r="I229" t="s">
        <v>1365</v>
      </c>
      <c r="J229" s="3" t="s">
        <v>2044</v>
      </c>
      <c r="L229" s="1">
        <v>42152</v>
      </c>
    </row>
    <row r="230" spans="1:12" x14ac:dyDescent="0.3">
      <c r="A230" s="3" t="str">
        <f>HYPERLINK("https://www.accessdata.fda.gov/scripts/cder/daf/index.cfm?event=overview.process&amp;varApplNo=207988", "Zurampic")</f>
        <v>Zurampic</v>
      </c>
      <c r="B230" t="s">
        <v>2045</v>
      </c>
      <c r="C230" s="1">
        <v>42360</v>
      </c>
      <c r="D230" t="s">
        <v>2046</v>
      </c>
      <c r="E230" s="1">
        <v>42360</v>
      </c>
      <c r="F230" t="s">
        <v>1354</v>
      </c>
      <c r="G230" t="s">
        <v>1355</v>
      </c>
      <c r="H230" t="s">
        <v>1356</v>
      </c>
      <c r="I230" t="s">
        <v>1357</v>
      </c>
      <c r="J230" s="3" t="s">
        <v>2047</v>
      </c>
      <c r="L230" s="1">
        <v>41998</v>
      </c>
    </row>
    <row r="231" spans="1:12" x14ac:dyDescent="0.3">
      <c r="A231" s="3" t="str">
        <f>HYPERLINK("https://www.accessdata.fda.gov/scripts/cder/daf/index.cfm?event=overview.process&amp;varApplNo=207947", "Uptravi")</f>
        <v>Uptravi</v>
      </c>
      <c r="B231" t="s">
        <v>2048</v>
      </c>
      <c r="C231" s="1">
        <v>42359</v>
      </c>
      <c r="D231" t="s">
        <v>2049</v>
      </c>
      <c r="E231" s="1">
        <v>42359</v>
      </c>
      <c r="F231" t="s">
        <v>1354</v>
      </c>
      <c r="G231" t="s">
        <v>1355</v>
      </c>
      <c r="H231" t="s">
        <v>1356</v>
      </c>
      <c r="I231" t="s">
        <v>1375</v>
      </c>
      <c r="J231" s="3" t="s">
        <v>2050</v>
      </c>
      <c r="L231" s="1">
        <v>41995</v>
      </c>
    </row>
    <row r="232" spans="1:12" x14ac:dyDescent="0.3">
      <c r="A232" s="3" t="str">
        <f>HYPERLINK("https://www.accessdata.fda.gov/scripts/cder/daf/index.cfm?event=overview.process&amp;varApplNo=022225", "Bridion")</f>
        <v>Bridion</v>
      </c>
      <c r="B232" t="s">
        <v>2051</v>
      </c>
      <c r="C232" s="1">
        <v>42353</v>
      </c>
      <c r="D232" t="s">
        <v>2052</v>
      </c>
      <c r="E232" s="1">
        <v>42353</v>
      </c>
      <c r="F232" t="s">
        <v>1354</v>
      </c>
      <c r="G232" t="s">
        <v>1355</v>
      </c>
      <c r="H232" t="s">
        <v>1356</v>
      </c>
      <c r="I232" t="s">
        <v>1365</v>
      </c>
      <c r="J232" s="3" t="s">
        <v>2053</v>
      </c>
      <c r="L232" s="1">
        <v>39385</v>
      </c>
    </row>
    <row r="233" spans="1:12" x14ac:dyDescent="0.3">
      <c r="A233" s="3" t="str">
        <f>HYPERLINK("https://www.accessdata.fda.gov/scripts/cder/daf/index.cfm?event=overview.process&amp;varApplNo=208434", "Alecensa")</f>
        <v>Alecensa</v>
      </c>
      <c r="B233" t="s">
        <v>2054</v>
      </c>
      <c r="C233" s="1">
        <v>42349</v>
      </c>
      <c r="D233" t="s">
        <v>2055</v>
      </c>
      <c r="E233" s="1">
        <v>42349</v>
      </c>
      <c r="F233" t="s">
        <v>1354</v>
      </c>
      <c r="G233" t="s">
        <v>1355</v>
      </c>
      <c r="H233" t="s">
        <v>1356</v>
      </c>
      <c r="I233" t="s">
        <v>1386</v>
      </c>
      <c r="J233" s="3" t="s">
        <v>2056</v>
      </c>
      <c r="L233" s="1" t="s">
        <v>1404</v>
      </c>
    </row>
    <row r="234" spans="1:12" x14ac:dyDescent="0.3">
      <c r="A234" s="3" t="str">
        <f>HYPERLINK("https://www.accessdata.fda.gov/scripts/cder/daf/index.cfm?event=overview.process&amp;varApplNo=125561", "Kanuma")</f>
        <v>Kanuma</v>
      </c>
      <c r="B234" t="s">
        <v>2057</v>
      </c>
      <c r="C234" s="1">
        <v>42346</v>
      </c>
      <c r="D234" t="s">
        <v>2058</v>
      </c>
      <c r="E234" s="1">
        <v>42346</v>
      </c>
      <c r="F234" t="s">
        <v>1354</v>
      </c>
      <c r="G234" t="s">
        <v>1355</v>
      </c>
      <c r="I234" t="s">
        <v>1361</v>
      </c>
      <c r="J234" s="3" t="s">
        <v>2059</v>
      </c>
      <c r="L234" s="1" t="s">
        <v>1377</v>
      </c>
    </row>
    <row r="235" spans="1:12" x14ac:dyDescent="0.3">
      <c r="A235" s="3" t="str">
        <f>HYPERLINK("https://www.accessdata.fda.gov/scripts/cder/daf/index.cfm?event=overview.process&amp;varApplNo=761035", "Empliciti")</f>
        <v>Empliciti</v>
      </c>
      <c r="B235" t="s">
        <v>2060</v>
      </c>
      <c r="C235" s="1">
        <v>42338</v>
      </c>
      <c r="D235" t="s">
        <v>2061</v>
      </c>
      <c r="E235" s="1">
        <v>42338</v>
      </c>
      <c r="F235" t="s">
        <v>1354</v>
      </c>
      <c r="G235" t="s">
        <v>1355</v>
      </c>
      <c r="I235" t="s">
        <v>1361</v>
      </c>
      <c r="J235" s="3" t="s">
        <v>2062</v>
      </c>
      <c r="L235" s="1">
        <v>42182</v>
      </c>
    </row>
    <row r="236" spans="1:12" x14ac:dyDescent="0.3">
      <c r="A236" s="3" t="str">
        <f>HYPERLINK("https://www.accessdata.fda.gov/scripts/cder/daf/index.cfm?event=overview.process&amp;varApplNo=125547", "Portrazza")</f>
        <v>Portrazza</v>
      </c>
      <c r="B236" t="s">
        <v>2063</v>
      </c>
      <c r="C236" s="1">
        <v>42332</v>
      </c>
      <c r="D236" t="s">
        <v>2064</v>
      </c>
      <c r="E236" s="1">
        <v>42332</v>
      </c>
      <c r="F236" t="s">
        <v>1354</v>
      </c>
      <c r="G236" t="s">
        <v>1355</v>
      </c>
      <c r="I236" t="s">
        <v>1282</v>
      </c>
      <c r="J236" s="3" t="s">
        <v>2065</v>
      </c>
      <c r="L236" s="1">
        <v>41975</v>
      </c>
    </row>
    <row r="237" spans="1:12" x14ac:dyDescent="0.3">
      <c r="A237" s="3" t="str">
        <f>HYPERLINK("https://www.accessdata.fda.gov/scripts/cder/daf/index.cfm?event=overview.process&amp;varApplNo=208462", "Ninlaro")</f>
        <v>Ninlaro</v>
      </c>
      <c r="B237" t="s">
        <v>2066</v>
      </c>
      <c r="C237" s="1">
        <v>42328</v>
      </c>
      <c r="D237" t="s">
        <v>2067</v>
      </c>
      <c r="E237" s="1">
        <v>42328</v>
      </c>
      <c r="F237" t="s">
        <v>1354</v>
      </c>
      <c r="G237" t="s">
        <v>1355</v>
      </c>
      <c r="H237" t="s">
        <v>1356</v>
      </c>
      <c r="I237" t="s">
        <v>1386</v>
      </c>
      <c r="J237" s="3" t="s">
        <v>2068</v>
      </c>
      <c r="L237" s="1">
        <v>42195</v>
      </c>
    </row>
    <row r="238" spans="1:12" x14ac:dyDescent="0.3">
      <c r="A238" s="3" t="str">
        <f>HYPERLINK("https://www.accessdata.fda.gov/scripts/cder/daf/index.cfm?event=overview.process&amp;varApplNo=761036", "Darzalex")</f>
        <v>Darzalex</v>
      </c>
      <c r="B238" t="s">
        <v>2069</v>
      </c>
      <c r="C238" s="1">
        <v>42324</v>
      </c>
      <c r="D238" t="s">
        <v>2070</v>
      </c>
      <c r="E238" s="1">
        <v>42324</v>
      </c>
      <c r="F238" t="s">
        <v>1354</v>
      </c>
      <c r="G238" t="s">
        <v>1355</v>
      </c>
      <c r="I238" t="s">
        <v>1361</v>
      </c>
      <c r="J238" s="3" t="s">
        <v>2071</v>
      </c>
      <c r="L238" s="1">
        <v>42194</v>
      </c>
    </row>
    <row r="239" spans="1:12" x14ac:dyDescent="0.3">
      <c r="A239" s="3" t="str">
        <f>HYPERLINK("https://www.accessdata.fda.gov/scripts/cder/daf/index.cfm?event=overview.process&amp;varApplNo=208065", "Tagrisso")</f>
        <v>Tagrisso</v>
      </c>
      <c r="B239" t="s">
        <v>2072</v>
      </c>
      <c r="C239" s="1">
        <v>42321</v>
      </c>
      <c r="D239" t="s">
        <v>2073</v>
      </c>
      <c r="E239" s="1">
        <v>42321</v>
      </c>
      <c r="F239" t="s">
        <v>1354</v>
      </c>
      <c r="G239" t="s">
        <v>1355</v>
      </c>
      <c r="H239" t="s">
        <v>1356</v>
      </c>
      <c r="I239" t="s">
        <v>1386</v>
      </c>
      <c r="J239" s="3" t="s">
        <v>2074</v>
      </c>
      <c r="L239" s="1">
        <v>42160</v>
      </c>
    </row>
    <row r="240" spans="1:12" x14ac:dyDescent="0.3">
      <c r="A240" s="3" t="str">
        <f>HYPERLINK("https://www.accessdata.fda.gov/scripts/cder/daf/index.cfm?event=overview.process&amp;varApplNo=206192", "Cotellic")</f>
        <v>Cotellic</v>
      </c>
      <c r="B240" t="s">
        <v>2075</v>
      </c>
      <c r="C240" s="1">
        <v>42318</v>
      </c>
      <c r="D240" t="s">
        <v>2076</v>
      </c>
      <c r="E240" s="1">
        <v>42318</v>
      </c>
      <c r="F240" t="s">
        <v>1354</v>
      </c>
      <c r="G240" t="s">
        <v>1355</v>
      </c>
      <c r="H240" t="s">
        <v>1356</v>
      </c>
      <c r="I240" t="s">
        <v>1386</v>
      </c>
      <c r="J240" s="3" t="s">
        <v>2077</v>
      </c>
      <c r="L240" s="1">
        <v>41984</v>
      </c>
    </row>
    <row r="241" spans="1:12" x14ac:dyDescent="0.3">
      <c r="A241" s="3" t="str">
        <f>HYPERLINK("https://www.accessdata.fda.gov/scripts/cder/daf/index.cfm?event=overview.process&amp;varApplNo=207561", "Genvoya")</f>
        <v>Genvoya</v>
      </c>
      <c r="B241" t="s">
        <v>2078</v>
      </c>
      <c r="C241" s="1">
        <v>42313</v>
      </c>
      <c r="D241" t="s">
        <v>2079</v>
      </c>
      <c r="E241" s="1">
        <v>42313</v>
      </c>
      <c r="F241" t="s">
        <v>1354</v>
      </c>
      <c r="G241" t="s">
        <v>1355</v>
      </c>
      <c r="H241" t="s">
        <v>1446</v>
      </c>
      <c r="I241" t="s">
        <v>1357</v>
      </c>
      <c r="J241" s="3" t="s">
        <v>2080</v>
      </c>
      <c r="L241" s="1">
        <v>41948</v>
      </c>
    </row>
    <row r="242" spans="1:12" x14ac:dyDescent="0.3">
      <c r="A242" s="3" t="str">
        <f>HYPERLINK("https://www.accessdata.fda.gov/scripts/cder/daf/index.cfm?event=overview.process&amp;varApplNo=125526", "Nucala")</f>
        <v>Nucala</v>
      </c>
      <c r="B242" t="s">
        <v>2081</v>
      </c>
      <c r="C242" s="1">
        <v>42312</v>
      </c>
      <c r="D242" t="s">
        <v>2082</v>
      </c>
      <c r="E242" s="1">
        <v>42312</v>
      </c>
      <c r="F242" t="s">
        <v>1354</v>
      </c>
      <c r="G242" t="s">
        <v>1355</v>
      </c>
      <c r="I242" t="s">
        <v>1282</v>
      </c>
      <c r="J242" s="3" t="s">
        <v>2083</v>
      </c>
      <c r="L242" s="1">
        <v>41947</v>
      </c>
    </row>
    <row r="243" spans="1:12" x14ac:dyDescent="0.3">
      <c r="A243" s="3" t="str">
        <f>HYPERLINK("https://www.accessdata.fda.gov/scripts/cder/daf/index.cfm?event=overview.process&amp;varApplNo=125513", "Strensiq")</f>
        <v>Strensiq</v>
      </c>
      <c r="B243" t="s">
        <v>2084</v>
      </c>
      <c r="C243" s="1">
        <v>42300</v>
      </c>
      <c r="D243" t="s">
        <v>2085</v>
      </c>
      <c r="E243" s="1">
        <v>42300</v>
      </c>
      <c r="F243" t="s">
        <v>1354</v>
      </c>
      <c r="G243" t="s">
        <v>1355</v>
      </c>
      <c r="I243" t="s">
        <v>1361</v>
      </c>
      <c r="J243" s="3" t="s">
        <v>2086</v>
      </c>
      <c r="L243" s="1">
        <v>41996</v>
      </c>
    </row>
    <row r="244" spans="1:12" x14ac:dyDescent="0.3">
      <c r="A244" s="3" t="str">
        <f>HYPERLINK("https://www.accessdata.fda.gov/scripts/cder/daf/index.cfm?event=overview.process&amp;varApplNo=207953", "Yondelis")</f>
        <v>Yondelis</v>
      </c>
      <c r="B244" t="s">
        <v>2087</v>
      </c>
      <c r="C244" s="1">
        <v>42300</v>
      </c>
      <c r="D244" t="s">
        <v>2088</v>
      </c>
      <c r="E244" s="1">
        <v>42300</v>
      </c>
      <c r="F244" t="s">
        <v>1354</v>
      </c>
      <c r="G244" t="s">
        <v>1355</v>
      </c>
      <c r="H244" t="s">
        <v>1356</v>
      </c>
      <c r="I244" t="s">
        <v>1386</v>
      </c>
      <c r="J244" s="3" t="s">
        <v>2089</v>
      </c>
      <c r="L244" s="1">
        <v>41967</v>
      </c>
    </row>
    <row r="245" spans="1:12" x14ac:dyDescent="0.3">
      <c r="A245" s="3" t="str">
        <f>HYPERLINK("https://www.accessdata.fda.gov/scripts/cder/daf/index.cfm?event=overview.process&amp;varApplNo=205739", "Veltassa")</f>
        <v>Veltassa</v>
      </c>
      <c r="B245" t="s">
        <v>2090</v>
      </c>
      <c r="C245" s="1">
        <v>42298</v>
      </c>
      <c r="D245" t="s">
        <v>2091</v>
      </c>
      <c r="E245" s="1">
        <v>42298</v>
      </c>
      <c r="F245" t="s">
        <v>1354</v>
      </c>
      <c r="G245" t="s">
        <v>1355</v>
      </c>
      <c r="H245" t="s">
        <v>1356</v>
      </c>
      <c r="I245" t="s">
        <v>1357</v>
      </c>
      <c r="J245" s="3" t="s">
        <v>2092</v>
      </c>
      <c r="L245" s="1">
        <v>41933</v>
      </c>
    </row>
    <row r="246" spans="1:12" x14ac:dyDescent="0.3">
      <c r="A246" s="3" t="str">
        <f>HYPERLINK("https://www.accessdata.fda.gov/scripts/cder/daf/index.cfm?event=overview.process&amp;varApplNo=761025", "Praxbind")</f>
        <v>Praxbind</v>
      </c>
      <c r="B246" t="s">
        <v>2093</v>
      </c>
      <c r="C246" s="1">
        <v>42293</v>
      </c>
      <c r="D246" t="s">
        <v>2094</v>
      </c>
      <c r="E246" s="1">
        <v>42293</v>
      </c>
      <c r="F246" t="s">
        <v>1354</v>
      </c>
      <c r="G246" t="s">
        <v>1355</v>
      </c>
      <c r="I246" t="s">
        <v>1282</v>
      </c>
      <c r="J246" s="3" t="s">
        <v>2095</v>
      </c>
      <c r="L246" s="1">
        <v>42054</v>
      </c>
    </row>
    <row r="247" spans="1:12" x14ac:dyDescent="0.3">
      <c r="A247" s="3" t="str">
        <f>HYPERLINK("https://www.accessdata.fda.gov/scripts/cder/daf/index.cfm?event=overview.process&amp;varApplNo=207533", "Aristada")</f>
        <v>Aristada</v>
      </c>
      <c r="B247" t="s">
        <v>2096</v>
      </c>
      <c r="C247" s="1">
        <v>42282</v>
      </c>
      <c r="D247" t="s">
        <v>2097</v>
      </c>
      <c r="E247" s="1">
        <v>42282</v>
      </c>
      <c r="F247" t="s">
        <v>1354</v>
      </c>
      <c r="G247" t="s">
        <v>1355</v>
      </c>
      <c r="H247" t="s">
        <v>1356</v>
      </c>
      <c r="I247" t="s">
        <v>1357</v>
      </c>
      <c r="J247" s="3" t="s">
        <v>2098</v>
      </c>
      <c r="L247" s="1">
        <v>41873</v>
      </c>
    </row>
    <row r="248" spans="1:12" x14ac:dyDescent="0.3">
      <c r="A248" s="3" t="str">
        <f>HYPERLINK("https://www.accessdata.fda.gov/scripts/cder/daf/index.cfm?event=overview.process&amp;varApplNo=203314", "Tresiba")</f>
        <v>Tresiba</v>
      </c>
      <c r="B248" t="s">
        <v>2099</v>
      </c>
      <c r="C248" s="1">
        <v>42272</v>
      </c>
      <c r="D248" t="s">
        <v>2100</v>
      </c>
      <c r="E248" s="1">
        <v>42272</v>
      </c>
      <c r="F248" t="s">
        <v>1354</v>
      </c>
      <c r="G248" t="s">
        <v>1355</v>
      </c>
      <c r="I248" t="s">
        <v>1282</v>
      </c>
      <c r="J248" s="3" t="s">
        <v>2101</v>
      </c>
      <c r="L248" s="1">
        <v>40815</v>
      </c>
    </row>
    <row r="249" spans="1:12" x14ac:dyDescent="0.3">
      <c r="A249" s="3" t="str">
        <f>HYPERLINK("https://www.accessdata.fda.gov/scripts/cder/daf/index.cfm?event=overview.process&amp;varApplNo=207981", "Lonsurf")</f>
        <v>Lonsurf</v>
      </c>
      <c r="B249" t="s">
        <v>2102</v>
      </c>
      <c r="C249" s="1">
        <v>42269</v>
      </c>
      <c r="D249" t="s">
        <v>2103</v>
      </c>
      <c r="E249" s="1">
        <v>42269</v>
      </c>
      <c r="F249" t="s">
        <v>1354</v>
      </c>
      <c r="G249" t="s">
        <v>1355</v>
      </c>
      <c r="H249" t="s">
        <v>1356</v>
      </c>
      <c r="I249" t="s">
        <v>1357</v>
      </c>
      <c r="J249" s="3" t="s">
        <v>2104</v>
      </c>
      <c r="L249" s="1">
        <v>41992</v>
      </c>
    </row>
    <row r="250" spans="1:12" x14ac:dyDescent="0.3">
      <c r="A250" s="3" t="str">
        <f>HYPERLINK("https://www.accessdata.fda.gov/scripts/cder/daf/index.cfm?event=overview.process&amp;varApplNo=204370", "Vraylar")</f>
        <v>Vraylar</v>
      </c>
      <c r="B250" t="s">
        <v>2105</v>
      </c>
      <c r="C250" s="1">
        <v>42264</v>
      </c>
      <c r="D250" t="s">
        <v>2106</v>
      </c>
      <c r="E250" s="1">
        <v>42264</v>
      </c>
      <c r="F250" t="s">
        <v>1354</v>
      </c>
      <c r="G250" t="s">
        <v>1355</v>
      </c>
      <c r="H250" t="s">
        <v>1356</v>
      </c>
      <c r="I250" t="s">
        <v>1357</v>
      </c>
      <c r="J250" s="3" t="s">
        <v>2107</v>
      </c>
      <c r="L250" s="1">
        <v>41232</v>
      </c>
    </row>
    <row r="251" spans="1:12" x14ac:dyDescent="0.3">
      <c r="A251" s="3" t="str">
        <f>HYPERLINK("https://www.accessdata.fda.gov/scripts/cder/daf/index.cfm?event=overview.process&amp;varApplNo=208169", "Xuriden")</f>
        <v>Xuriden</v>
      </c>
      <c r="B251" t="s">
        <v>2108</v>
      </c>
      <c r="C251" s="1">
        <v>42251</v>
      </c>
      <c r="D251" t="s">
        <v>2109</v>
      </c>
      <c r="E251" s="1">
        <v>42251</v>
      </c>
      <c r="F251" t="s">
        <v>1354</v>
      </c>
      <c r="G251" t="s">
        <v>1355</v>
      </c>
      <c r="H251" t="s">
        <v>1356</v>
      </c>
      <c r="I251" t="s">
        <v>1386</v>
      </c>
      <c r="J251" s="3" t="s">
        <v>2110</v>
      </c>
      <c r="L251" s="1">
        <v>42012</v>
      </c>
    </row>
    <row r="252" spans="1:12" x14ac:dyDescent="0.3">
      <c r="A252" s="3" t="str">
        <f>HYPERLINK("https://www.accessdata.fda.gov/scripts/cder/daf/index.cfm?event=overview.process&amp;varApplNo=206500", "Varubi")</f>
        <v>Varubi</v>
      </c>
      <c r="B252" t="s">
        <v>2111</v>
      </c>
      <c r="C252" s="1">
        <v>42248</v>
      </c>
      <c r="D252" t="s">
        <v>2112</v>
      </c>
      <c r="E252" s="1">
        <v>42248</v>
      </c>
      <c r="F252" t="s">
        <v>1354</v>
      </c>
      <c r="G252" t="s">
        <v>1355</v>
      </c>
      <c r="H252" t="s">
        <v>1356</v>
      </c>
      <c r="I252" t="s">
        <v>1357</v>
      </c>
      <c r="J252" s="3" t="s">
        <v>2113</v>
      </c>
      <c r="L252" s="1">
        <v>41887</v>
      </c>
    </row>
    <row r="253" spans="1:12" x14ac:dyDescent="0.3">
      <c r="A253" s="3" t="str">
        <f>HYPERLINK("https://www.accessdata.fda.gov/scripts/cder/daf/index.cfm?event=overview.process&amp;varApplNo=125522", "Repatha")</f>
        <v>Repatha</v>
      </c>
      <c r="B253" t="s">
        <v>2114</v>
      </c>
      <c r="C253" s="1">
        <v>42243</v>
      </c>
      <c r="D253" t="s">
        <v>2115</v>
      </c>
      <c r="E253" s="1">
        <v>42243</v>
      </c>
      <c r="F253" t="s">
        <v>1354</v>
      </c>
      <c r="G253" t="s">
        <v>1355</v>
      </c>
      <c r="I253" t="s">
        <v>1361</v>
      </c>
      <c r="J253" s="3" t="s">
        <v>2116</v>
      </c>
      <c r="L253" s="1">
        <v>41878</v>
      </c>
    </row>
    <row r="254" spans="1:12" x14ac:dyDescent="0.3">
      <c r="A254" s="3" t="str">
        <f>HYPERLINK("https://www.accessdata.fda.gov/scripts/cder/daf/index.cfm?event=overview.process&amp;varApplNo=022526", "Addyi")</f>
        <v>Addyi</v>
      </c>
      <c r="B254" t="s">
        <v>2117</v>
      </c>
      <c r="C254" s="1">
        <v>42234</v>
      </c>
      <c r="D254" t="s">
        <v>2118</v>
      </c>
      <c r="E254" s="1">
        <v>42234</v>
      </c>
      <c r="F254" t="s">
        <v>1354</v>
      </c>
      <c r="G254" t="s">
        <v>1355</v>
      </c>
      <c r="H254" t="s">
        <v>1356</v>
      </c>
      <c r="I254" t="s">
        <v>1357</v>
      </c>
      <c r="J254" s="3" t="s">
        <v>2119</v>
      </c>
      <c r="L254" s="1">
        <v>40113</v>
      </c>
    </row>
    <row r="255" spans="1:12" x14ac:dyDescent="0.3">
      <c r="A255" s="3" t="str">
        <f>HYPERLINK("https://www.accessdata.fda.gov/scripts/cder/daf/index.cfm?event=overview.process&amp;varApplNo=206843", "Daklinza")</f>
        <v>Daklinza</v>
      </c>
      <c r="B255" t="s">
        <v>2120</v>
      </c>
      <c r="C255" s="1">
        <v>42209</v>
      </c>
      <c r="D255" t="s">
        <v>2121</v>
      </c>
      <c r="E255" s="1">
        <v>42209</v>
      </c>
      <c r="F255" t="s">
        <v>1354</v>
      </c>
      <c r="G255" t="s">
        <v>1355</v>
      </c>
      <c r="H255" t="s">
        <v>1356</v>
      </c>
      <c r="I255" t="s">
        <v>1365</v>
      </c>
      <c r="J255" s="3" t="s">
        <v>2122</v>
      </c>
      <c r="L255" s="1">
        <v>41729</v>
      </c>
    </row>
    <row r="256" spans="1:12" x14ac:dyDescent="0.3">
      <c r="A256" s="3" t="str">
        <f>HYPERLINK("https://www.accessdata.fda.gov/scripts/cder/daf/index.cfm?event=overview.process&amp;varApplNo=205266", "Odomzo")</f>
        <v>Odomzo</v>
      </c>
      <c r="B256" t="s">
        <v>2123</v>
      </c>
      <c r="C256" s="1">
        <v>42209</v>
      </c>
      <c r="D256" t="s">
        <v>2124</v>
      </c>
      <c r="E256" s="1">
        <v>42209</v>
      </c>
      <c r="F256" t="s">
        <v>1354</v>
      </c>
      <c r="G256" t="s">
        <v>1355</v>
      </c>
      <c r="H256" t="s">
        <v>1356</v>
      </c>
      <c r="I256" t="s">
        <v>1357</v>
      </c>
      <c r="J256" s="3" t="s">
        <v>2125</v>
      </c>
      <c r="L256" s="1">
        <v>41908</v>
      </c>
    </row>
    <row r="257" spans="1:12" x14ac:dyDescent="0.3">
      <c r="A257" s="3" t="str">
        <f>HYPERLINK("https://www.accessdata.fda.gov/scripts/cder/daf/index.cfm?event=overview.process&amp;varApplNo=125559", "Praluent")</f>
        <v>Praluent</v>
      </c>
      <c r="B257" t="s">
        <v>2126</v>
      </c>
      <c r="C257" s="1">
        <v>42209</v>
      </c>
      <c r="D257" t="s">
        <v>2115</v>
      </c>
      <c r="E257" s="1">
        <v>42209</v>
      </c>
      <c r="F257" t="s">
        <v>1354</v>
      </c>
      <c r="G257" t="s">
        <v>1355</v>
      </c>
      <c r="I257" t="s">
        <v>1282</v>
      </c>
      <c r="J257" s="3" t="s">
        <v>2127</v>
      </c>
      <c r="L257" s="1">
        <v>41967</v>
      </c>
    </row>
    <row r="258" spans="1:12" x14ac:dyDescent="0.3">
      <c r="A258" s="3" t="str">
        <f>HYPERLINK("https://www.accessdata.fda.gov/scripts/cder/daf/index.cfm?event=overview.process&amp;varApplNo=205422", "Rexulti")</f>
        <v>Rexulti</v>
      </c>
      <c r="B258" t="s">
        <v>2128</v>
      </c>
      <c r="C258" s="1">
        <v>42195</v>
      </c>
      <c r="D258" t="s">
        <v>2129</v>
      </c>
      <c r="E258" s="1">
        <v>42195</v>
      </c>
      <c r="F258" t="s">
        <v>1354</v>
      </c>
      <c r="G258" t="s">
        <v>1355</v>
      </c>
      <c r="H258" t="s">
        <v>1356</v>
      </c>
      <c r="I258" t="s">
        <v>1357</v>
      </c>
      <c r="J258" s="3" t="s">
        <v>2130</v>
      </c>
      <c r="L258" s="1">
        <v>41831</v>
      </c>
    </row>
    <row r="259" spans="1:12" x14ac:dyDescent="0.3">
      <c r="A259" s="3" t="str">
        <f>HYPERLINK("https://www.accessdata.fda.gov/scripts/cder/daf/index.cfm?event=overview.process&amp;varApplNo=207620", "Entresto")</f>
        <v>Entresto</v>
      </c>
      <c r="B259" t="s">
        <v>2131</v>
      </c>
      <c r="C259" s="1">
        <v>42192</v>
      </c>
      <c r="D259" t="s">
        <v>2132</v>
      </c>
      <c r="E259" s="1">
        <v>42192</v>
      </c>
      <c r="F259" t="s">
        <v>1354</v>
      </c>
      <c r="G259" t="s">
        <v>1355</v>
      </c>
      <c r="H259" t="s">
        <v>1356</v>
      </c>
      <c r="I259" t="s">
        <v>1365</v>
      </c>
      <c r="J259" s="3" t="s">
        <v>2133</v>
      </c>
      <c r="L259" s="1">
        <v>41990</v>
      </c>
    </row>
    <row r="260" spans="1:12" x14ac:dyDescent="0.3">
      <c r="A260" s="3" t="str">
        <f>HYPERLINK("https://www.accessdata.fda.gov/scripts/cder/daf/index.cfm?event=overview.process&amp;varApplNo=206038", "Orkambi")</f>
        <v>Orkambi</v>
      </c>
      <c r="B260" t="s">
        <v>2134</v>
      </c>
      <c r="C260" s="1">
        <v>42187</v>
      </c>
      <c r="D260" t="s">
        <v>2135</v>
      </c>
      <c r="E260" s="1">
        <v>42187</v>
      </c>
      <c r="F260" t="s">
        <v>1354</v>
      </c>
      <c r="G260" t="s">
        <v>1355</v>
      </c>
      <c r="H260" t="s">
        <v>1356</v>
      </c>
      <c r="I260" t="s">
        <v>1386</v>
      </c>
      <c r="J260" s="3" t="s">
        <v>2136</v>
      </c>
      <c r="L260" s="1">
        <v>41948</v>
      </c>
    </row>
    <row r="261" spans="1:12" x14ac:dyDescent="0.3">
      <c r="A261" s="3" t="str">
        <f>HYPERLINK("https://www.accessdata.fda.gov/scripts/cder/daf/index.cfm?event=overview.process&amp;varApplNo=204958", "Kengreal")</f>
        <v>Kengreal</v>
      </c>
      <c r="B261" t="s">
        <v>2137</v>
      </c>
      <c r="C261" s="1">
        <v>42177</v>
      </c>
      <c r="D261" t="s">
        <v>2138</v>
      </c>
      <c r="E261" s="1">
        <v>42177</v>
      </c>
      <c r="F261" t="s">
        <v>1354</v>
      </c>
      <c r="G261" t="s">
        <v>1355</v>
      </c>
      <c r="H261" t="s">
        <v>1356</v>
      </c>
      <c r="I261" t="s">
        <v>1357</v>
      </c>
      <c r="J261" s="3" t="s">
        <v>2139</v>
      </c>
      <c r="L261" s="1">
        <v>41996</v>
      </c>
    </row>
    <row r="262" spans="1:12" x14ac:dyDescent="0.3">
      <c r="A262" s="3" t="str">
        <f>HYPERLINK("https://www.accessdata.fda.gov/scripts/cder/daf/index.cfm?event=overview.process&amp;varApplNo=206940", "Viberzi")</f>
        <v>Viberzi</v>
      </c>
      <c r="B262" t="s">
        <v>2140</v>
      </c>
      <c r="C262" s="1">
        <v>42151</v>
      </c>
      <c r="D262" t="s">
        <v>2141</v>
      </c>
      <c r="E262" s="1">
        <v>42151</v>
      </c>
      <c r="F262" t="s">
        <v>1354</v>
      </c>
      <c r="G262" t="s">
        <v>1355</v>
      </c>
      <c r="H262" t="s">
        <v>1356</v>
      </c>
      <c r="I262" t="s">
        <v>1365</v>
      </c>
      <c r="J262" s="3" t="s">
        <v>2142</v>
      </c>
      <c r="L262" s="1">
        <v>41816</v>
      </c>
    </row>
    <row r="263" spans="1:12" x14ac:dyDescent="0.3">
      <c r="A263" s="3" t="str">
        <f>HYPERLINK("https://www.accessdata.fda.gov/scripts/cder/daf/index.cfm?event=overview.process&amp;varApplNo=206333", "Kybella")</f>
        <v>Kybella</v>
      </c>
      <c r="B263" t="s">
        <v>2143</v>
      </c>
      <c r="C263" s="1">
        <v>42123</v>
      </c>
      <c r="D263" t="s">
        <v>2144</v>
      </c>
      <c r="E263" s="1">
        <v>42123</v>
      </c>
      <c r="F263" t="s">
        <v>1354</v>
      </c>
      <c r="G263" t="s">
        <v>1355</v>
      </c>
      <c r="H263" t="s">
        <v>1356</v>
      </c>
      <c r="I263" t="s">
        <v>1357</v>
      </c>
      <c r="J263" s="3" t="s">
        <v>2145</v>
      </c>
      <c r="L263" s="1">
        <v>41772</v>
      </c>
    </row>
    <row r="264" spans="1:12" x14ac:dyDescent="0.3">
      <c r="A264" s="3" t="str">
        <f>HYPERLINK("https://www.accessdata.fda.gov/scripts/cder/daf/index.cfm?event=overview.process&amp;varApplNo=206143", "Corlanor")</f>
        <v>Corlanor</v>
      </c>
      <c r="B264" t="s">
        <v>2146</v>
      </c>
      <c r="C264" s="1">
        <v>42109</v>
      </c>
      <c r="D264" t="s">
        <v>2147</v>
      </c>
      <c r="E264" s="1">
        <v>42109</v>
      </c>
      <c r="F264" t="s">
        <v>1354</v>
      </c>
      <c r="G264" t="s">
        <v>1355</v>
      </c>
      <c r="H264" t="s">
        <v>1356</v>
      </c>
      <c r="I264" t="s">
        <v>1365</v>
      </c>
      <c r="J264" s="3" t="s">
        <v>2148</v>
      </c>
      <c r="L264" s="1">
        <v>41817</v>
      </c>
    </row>
    <row r="265" spans="1:12" x14ac:dyDescent="0.3">
      <c r="A265" s="3" t="str">
        <f>HYPERLINK("https://www.accessdata.fda.gov/scripts/cder/daf/index.cfm?event=overview.process&amp;varApplNo=205750", "Cholbam")</f>
        <v>Cholbam</v>
      </c>
      <c r="B265" t="s">
        <v>2149</v>
      </c>
      <c r="C265" s="1">
        <v>42080</v>
      </c>
      <c r="D265" t="s">
        <v>2150</v>
      </c>
      <c r="E265" s="1">
        <v>42080</v>
      </c>
      <c r="F265" t="s">
        <v>1354</v>
      </c>
      <c r="G265" t="s">
        <v>1355</v>
      </c>
      <c r="H265" t="s">
        <v>1356</v>
      </c>
      <c r="I265" t="s">
        <v>1386</v>
      </c>
      <c r="J265" s="3" t="s">
        <v>2151</v>
      </c>
      <c r="L265" s="1">
        <v>41599</v>
      </c>
    </row>
    <row r="266" spans="1:12" x14ac:dyDescent="0.3">
      <c r="A266" s="3" t="str">
        <f>HYPERLINK("https://www.accessdata.fda.gov/scripts/cder/daf/index.cfm?event=overview.process&amp;varApplNo=125516", "Unituxin")</f>
        <v>Unituxin</v>
      </c>
      <c r="B266" t="s">
        <v>2152</v>
      </c>
      <c r="C266" s="1">
        <v>42073</v>
      </c>
      <c r="D266" t="s">
        <v>2153</v>
      </c>
      <c r="E266" s="1">
        <v>42073</v>
      </c>
      <c r="F266" t="s">
        <v>1354</v>
      </c>
      <c r="G266" t="s">
        <v>1355</v>
      </c>
      <c r="I266" t="s">
        <v>1361</v>
      </c>
      <c r="J266" s="3" t="s">
        <v>2154</v>
      </c>
      <c r="L266" s="1">
        <v>41740</v>
      </c>
    </row>
    <row r="267" spans="1:12" x14ac:dyDescent="0.3">
      <c r="A267" s="3" t="str">
        <f>HYPERLINK("https://www.accessdata.fda.gov/scripts/cder/daf/index.cfm?event=overview.process&amp;varApplNo=207500", "Cresembacapsuleinjection")</f>
        <v>Cresembacapsuleinjection</v>
      </c>
      <c r="B267" t="s">
        <v>2155</v>
      </c>
      <c r="C267" s="1">
        <v>42069</v>
      </c>
      <c r="D267" t="s">
        <v>2156</v>
      </c>
      <c r="E267" s="1">
        <v>42069</v>
      </c>
      <c r="F267" t="s">
        <v>1354</v>
      </c>
      <c r="G267" t="s">
        <v>1355</v>
      </c>
      <c r="H267" t="s">
        <v>1356</v>
      </c>
      <c r="I267" t="s">
        <v>1386</v>
      </c>
      <c r="J267" s="3" t="s">
        <v>2157</v>
      </c>
      <c r="L267" s="1">
        <v>41828</v>
      </c>
    </row>
    <row r="268" spans="1:12" x14ac:dyDescent="0.3">
      <c r="A268" s="3" t="str">
        <f>HYPERLINK("https://www.accessdata.fda.gov/scripts/cder/daf/index.cfm?event=overview.process&amp;varApplNo=206494", "Avycaz")</f>
        <v>Avycaz</v>
      </c>
      <c r="B268" t="s">
        <v>2158</v>
      </c>
      <c r="C268" s="1">
        <v>42060</v>
      </c>
      <c r="D268" t="s">
        <v>2159</v>
      </c>
      <c r="E268" s="1">
        <v>42060</v>
      </c>
      <c r="F268" t="s">
        <v>1354</v>
      </c>
      <c r="G268" t="s">
        <v>1355</v>
      </c>
      <c r="H268" t="s">
        <v>1446</v>
      </c>
      <c r="I268" t="s">
        <v>1365</v>
      </c>
      <c r="J268" s="3" t="s">
        <v>2160</v>
      </c>
      <c r="L268" s="1">
        <v>41815</v>
      </c>
    </row>
    <row r="269" spans="1:12" x14ac:dyDescent="0.3">
      <c r="A269" s="3" t="str">
        <f>HYPERLINK("https://www.accessdata.fda.gov/scripts/cder/daf/index.cfm?event=overview.process&amp;varApplNo=205353", "Farydak")</f>
        <v>Farydak</v>
      </c>
      <c r="B269" t="s">
        <v>2161</v>
      </c>
      <c r="C269" s="1">
        <v>42058</v>
      </c>
      <c r="D269" t="s">
        <v>2162</v>
      </c>
      <c r="E269" s="1">
        <v>42058</v>
      </c>
      <c r="F269" t="s">
        <v>1354</v>
      </c>
      <c r="G269" t="s">
        <v>1355</v>
      </c>
      <c r="H269" t="s">
        <v>1356</v>
      </c>
      <c r="I269" t="s">
        <v>1386</v>
      </c>
      <c r="J269" s="3" t="s">
        <v>2163</v>
      </c>
      <c r="L269" s="1">
        <v>41720</v>
      </c>
    </row>
    <row r="270" spans="1:12" x14ac:dyDescent="0.3">
      <c r="A270" s="3" t="str">
        <f>HYPERLINK("https://www.accessdata.fda.gov/scripts/cder/daf/index.cfm?event=overview.process&amp;varApplNo=206947", "Lenvima")</f>
        <v>Lenvima</v>
      </c>
      <c r="B270" t="s">
        <v>2164</v>
      </c>
      <c r="C270" s="1">
        <v>42048</v>
      </c>
      <c r="D270" t="s">
        <v>2165</v>
      </c>
      <c r="E270" s="1">
        <v>42048</v>
      </c>
      <c r="F270" t="s">
        <v>1354</v>
      </c>
      <c r="G270" t="s">
        <v>1355</v>
      </c>
      <c r="H270" t="s">
        <v>1356</v>
      </c>
      <c r="I270" t="s">
        <v>1386</v>
      </c>
      <c r="J270" s="3" t="s">
        <v>2166</v>
      </c>
      <c r="L270" s="1">
        <v>41865</v>
      </c>
    </row>
    <row r="271" spans="1:12" x14ac:dyDescent="0.3">
      <c r="A271" s="3" t="str">
        <f>HYPERLINK("https://www.accessdata.fda.gov/scripts/cder/daf/index.cfm?event=overview.process&amp;varApplNo=207103", "Ibrance")</f>
        <v>Ibrance</v>
      </c>
      <c r="B271" t="s">
        <v>2167</v>
      </c>
      <c r="C271" s="1">
        <v>42038</v>
      </c>
      <c r="D271" t="s">
        <v>2168</v>
      </c>
      <c r="E271" s="1">
        <v>42038</v>
      </c>
      <c r="F271" t="s">
        <v>1354</v>
      </c>
      <c r="G271" t="s">
        <v>1355</v>
      </c>
      <c r="H271" t="s">
        <v>1356</v>
      </c>
      <c r="I271" t="s">
        <v>1365</v>
      </c>
      <c r="J271" s="3" t="s">
        <v>2169</v>
      </c>
      <c r="L271" s="1">
        <v>41864</v>
      </c>
    </row>
    <row r="272" spans="1:12" x14ac:dyDescent="0.3">
      <c r="A272" s="3" t="str">
        <f>HYPERLINK("https://www.accessdata.fda.gov/scripts/cder/daf/index.cfm?event=overview.process&amp;varApplNo=125511", "Natpara")</f>
        <v>Natpara</v>
      </c>
      <c r="B272" t="s">
        <v>2170</v>
      </c>
      <c r="C272" s="1">
        <v>42027</v>
      </c>
      <c r="D272" t="s">
        <v>2171</v>
      </c>
      <c r="E272" s="1">
        <v>42027</v>
      </c>
      <c r="F272" t="s">
        <v>1354</v>
      </c>
      <c r="G272" t="s">
        <v>1355</v>
      </c>
      <c r="I272" t="s">
        <v>1361</v>
      </c>
      <c r="J272" s="3" t="s">
        <v>2172</v>
      </c>
      <c r="L272" s="1">
        <v>41570</v>
      </c>
    </row>
    <row r="273" spans="1:12" x14ac:dyDescent="0.3">
      <c r="A273" s="3" t="str">
        <f>HYPERLINK("https://www.accessdata.fda.gov/scripts/cder/daf/index.cfm?event=overview.process&amp;varApplNo=125504", "Cosentyx")</f>
        <v>Cosentyx</v>
      </c>
      <c r="B273" t="s">
        <v>2173</v>
      </c>
      <c r="C273" s="1">
        <v>42025</v>
      </c>
      <c r="D273" t="s">
        <v>2174</v>
      </c>
      <c r="E273" s="1">
        <v>42025</v>
      </c>
      <c r="F273" t="s">
        <v>1354</v>
      </c>
      <c r="G273" t="s">
        <v>1355</v>
      </c>
      <c r="I273" t="s">
        <v>1282</v>
      </c>
      <c r="J273" s="3" t="s">
        <v>2175</v>
      </c>
      <c r="L273" s="1">
        <v>41571</v>
      </c>
    </row>
    <row r="274" spans="1:12" x14ac:dyDescent="0.3">
      <c r="A274" s="3" t="str">
        <f>HYPERLINK("https://www.accessdata.fda.gov/scripts/cder/daf/index.cfm?event=overview.process&amp;varApplNo=206316", "Savaysa")</f>
        <v>Savaysa</v>
      </c>
      <c r="B274" t="s">
        <v>2176</v>
      </c>
      <c r="C274" s="1">
        <v>42012</v>
      </c>
      <c r="D274" t="s">
        <v>2177</v>
      </c>
      <c r="E274" s="1">
        <v>42012</v>
      </c>
      <c r="F274" t="s">
        <v>1354</v>
      </c>
      <c r="G274" t="s">
        <v>1355</v>
      </c>
      <c r="H274" t="s">
        <v>1356</v>
      </c>
      <c r="I274" t="s">
        <v>1357</v>
      </c>
      <c r="J274" s="3" t="s">
        <v>2178</v>
      </c>
      <c r="L274" s="1" t="s">
        <v>1377</v>
      </c>
    </row>
    <row r="275" spans="1:12" x14ac:dyDescent="0.3">
      <c r="A275" s="3"/>
      <c r="C275" s="1"/>
      <c r="E275" s="1"/>
      <c r="J275" s="3"/>
      <c r="L275" s="1"/>
    </row>
    <row r="276" spans="1:12" x14ac:dyDescent="0.3">
      <c r="A276" s="3"/>
      <c r="C276" s="1"/>
      <c r="E276" s="1"/>
      <c r="J276" s="3"/>
      <c r="L276" s="1"/>
    </row>
    <row r="277" spans="1:12" x14ac:dyDescent="0.3">
      <c r="A277" s="3"/>
      <c r="C277" s="1"/>
      <c r="E277" s="1"/>
      <c r="J277" s="3"/>
      <c r="L277" s="1"/>
    </row>
    <row r="278" spans="1:12" x14ac:dyDescent="0.3">
      <c r="A278" s="3"/>
      <c r="C278" s="1"/>
      <c r="E278" s="1"/>
      <c r="J278" s="3"/>
      <c r="L278" s="1"/>
    </row>
    <row r="279" spans="1:12" x14ac:dyDescent="0.3">
      <c r="A279" s="3"/>
      <c r="C279" s="1"/>
      <c r="E279" s="1"/>
      <c r="J279" s="3"/>
      <c r="L279" s="1"/>
    </row>
    <row r="280" spans="1:12" x14ac:dyDescent="0.3">
      <c r="A280" s="3"/>
      <c r="C280" s="1"/>
      <c r="E280" s="1"/>
      <c r="J280" s="3"/>
      <c r="L280" s="1"/>
    </row>
    <row r="281" spans="1:12" x14ac:dyDescent="0.3">
      <c r="A281" s="3"/>
      <c r="C281" s="1"/>
      <c r="E281" s="1"/>
      <c r="J281" s="3"/>
      <c r="L281" s="1"/>
    </row>
    <row r="282" spans="1:12" x14ac:dyDescent="0.3">
      <c r="A282" s="3"/>
      <c r="C282" s="1"/>
      <c r="E282" s="1"/>
      <c r="J282" s="3"/>
      <c r="L282" s="1"/>
    </row>
    <row r="283" spans="1:12" x14ac:dyDescent="0.3">
      <c r="A283" s="3"/>
      <c r="C283" s="1"/>
      <c r="E283" s="1"/>
      <c r="J283" s="3"/>
      <c r="L283" s="1"/>
    </row>
    <row r="284" spans="1:12" x14ac:dyDescent="0.3">
      <c r="A284" s="3"/>
      <c r="C284" s="1"/>
      <c r="E284" s="1"/>
      <c r="J284" s="3"/>
      <c r="L284" s="1"/>
    </row>
    <row r="285" spans="1:12" x14ac:dyDescent="0.3">
      <c r="A285" s="3"/>
      <c r="C285" s="1"/>
      <c r="E285" s="1"/>
      <c r="J285" s="3"/>
      <c r="L285" s="1"/>
    </row>
    <row r="286" spans="1:12" x14ac:dyDescent="0.3">
      <c r="A286" s="3"/>
      <c r="C286" s="1"/>
      <c r="E286" s="1"/>
      <c r="J286" s="3"/>
      <c r="L286" s="1"/>
    </row>
    <row r="287" spans="1:12" x14ac:dyDescent="0.3">
      <c r="A287" s="3"/>
      <c r="C287" s="1"/>
      <c r="E287" s="1"/>
      <c r="J287" s="3"/>
      <c r="L287" s="1"/>
    </row>
    <row r="288" spans="1:12" x14ac:dyDescent="0.3">
      <c r="A288" s="3"/>
      <c r="C288" s="1"/>
      <c r="E288" s="1"/>
      <c r="J288" s="3"/>
      <c r="L288" s="1"/>
    </row>
    <row r="289" spans="1:12" x14ac:dyDescent="0.3">
      <c r="A289" s="3"/>
      <c r="C289" s="1"/>
      <c r="E289" s="1"/>
      <c r="J289" s="3"/>
      <c r="L289" s="1"/>
    </row>
    <row r="290" spans="1:12" x14ac:dyDescent="0.3">
      <c r="A290" s="3"/>
      <c r="C290" s="1"/>
      <c r="E290" s="1"/>
      <c r="J290" s="3"/>
      <c r="L290" s="1"/>
    </row>
    <row r="291" spans="1:12" x14ac:dyDescent="0.3">
      <c r="A291" s="3"/>
      <c r="C291" s="1"/>
      <c r="E291" s="1"/>
      <c r="J291" s="3"/>
      <c r="L291" s="1"/>
    </row>
    <row r="292" spans="1:12" x14ac:dyDescent="0.3">
      <c r="A292" s="3"/>
      <c r="C292" s="1"/>
      <c r="E292" s="1"/>
      <c r="J292" s="3"/>
      <c r="L292" s="1"/>
    </row>
    <row r="293" spans="1:12" x14ac:dyDescent="0.3">
      <c r="A293" s="3"/>
      <c r="C293" s="1"/>
      <c r="E293" s="1"/>
      <c r="J293" s="3"/>
      <c r="L293" s="1"/>
    </row>
    <row r="294" spans="1:12" x14ac:dyDescent="0.3">
      <c r="A294" s="3"/>
      <c r="C294" s="1"/>
      <c r="E294" s="1"/>
      <c r="J294" s="3"/>
      <c r="L294" s="1"/>
    </row>
    <row r="295" spans="1:12" x14ac:dyDescent="0.3">
      <c r="A295" s="3"/>
      <c r="C295" s="1"/>
      <c r="E295" s="1"/>
      <c r="J295" s="3"/>
      <c r="L295" s="1"/>
    </row>
    <row r="296" spans="1:12" x14ac:dyDescent="0.3">
      <c r="A296" s="3"/>
      <c r="C296" s="1"/>
      <c r="E296" s="1"/>
      <c r="J296" s="3"/>
      <c r="L296" s="1"/>
    </row>
    <row r="297" spans="1:12" x14ac:dyDescent="0.3">
      <c r="A297" s="3"/>
      <c r="C297" s="1"/>
      <c r="E297" s="1"/>
      <c r="J297" s="3"/>
      <c r="L297" s="1"/>
    </row>
    <row r="298" spans="1:12" x14ac:dyDescent="0.3">
      <c r="A298" s="3"/>
      <c r="C298" s="1"/>
      <c r="E298" s="1"/>
      <c r="J298" s="3"/>
      <c r="L298" s="1"/>
    </row>
    <row r="299" spans="1:12" x14ac:dyDescent="0.3">
      <c r="A299" s="3"/>
      <c r="C299" s="1"/>
      <c r="E299" s="1"/>
      <c r="J299" s="3"/>
      <c r="L299" s="1"/>
    </row>
    <row r="300" spans="1:12" x14ac:dyDescent="0.3">
      <c r="A300" s="3"/>
      <c r="C300" s="1"/>
      <c r="E300" s="1"/>
      <c r="J300" s="3"/>
      <c r="L300" s="1"/>
    </row>
    <row r="301" spans="1:12" x14ac:dyDescent="0.3">
      <c r="A301" s="3"/>
      <c r="C301" s="1"/>
      <c r="E301" s="1"/>
      <c r="J301" s="3"/>
      <c r="L301" s="1"/>
    </row>
    <row r="302" spans="1:12" x14ac:dyDescent="0.3">
      <c r="A302" s="3"/>
      <c r="C302" s="1"/>
      <c r="E302" s="1"/>
      <c r="J302" s="3"/>
      <c r="L302" s="1"/>
    </row>
    <row r="303" spans="1:12" x14ac:dyDescent="0.3">
      <c r="A303" s="3"/>
      <c r="C303" s="1"/>
      <c r="E303" s="1"/>
      <c r="J303" s="3"/>
      <c r="L303" s="1"/>
    </row>
    <row r="304" spans="1:12" x14ac:dyDescent="0.3">
      <c r="A304" s="3"/>
      <c r="C304" s="1"/>
      <c r="E304" s="1"/>
      <c r="J304" s="3"/>
      <c r="L304" s="1"/>
    </row>
    <row r="305" spans="1:12" x14ac:dyDescent="0.3">
      <c r="A305" s="3"/>
      <c r="C305" s="1"/>
      <c r="E305" s="1"/>
      <c r="J305" s="3"/>
      <c r="L305" s="1"/>
    </row>
    <row r="306" spans="1:12" x14ac:dyDescent="0.3">
      <c r="A306" s="3"/>
      <c r="C306" s="1"/>
      <c r="E306" s="1"/>
      <c r="J306" s="3"/>
      <c r="L306" s="1"/>
    </row>
    <row r="307" spans="1:12" x14ac:dyDescent="0.3">
      <c r="A307" s="3"/>
      <c r="C307" s="1"/>
      <c r="E307" s="1"/>
      <c r="J307" s="3"/>
      <c r="L307" s="1"/>
    </row>
    <row r="308" spans="1:12" x14ac:dyDescent="0.3">
      <c r="A308" s="3"/>
      <c r="C308" s="1"/>
      <c r="E308" s="1"/>
      <c r="J308" s="3"/>
      <c r="L308" s="1"/>
    </row>
    <row r="309" spans="1:12" x14ac:dyDescent="0.3">
      <c r="A309" s="3"/>
      <c r="C309" s="1"/>
      <c r="E309" s="1"/>
      <c r="J309" s="3"/>
      <c r="L309" s="1"/>
    </row>
    <row r="310" spans="1:12" x14ac:dyDescent="0.3">
      <c r="A310" s="3"/>
      <c r="C310" s="1"/>
      <c r="E310" s="1"/>
      <c r="J310" s="3"/>
      <c r="L310" s="1"/>
    </row>
    <row r="311" spans="1:12" x14ac:dyDescent="0.3">
      <c r="A311" s="3"/>
      <c r="C311" s="1"/>
      <c r="E311" s="1"/>
      <c r="J311" s="3"/>
      <c r="L311" s="1"/>
    </row>
    <row r="312" spans="1:12" x14ac:dyDescent="0.3">
      <c r="A312" s="3"/>
      <c r="C312" s="1"/>
      <c r="E312" s="1"/>
      <c r="J312" s="3"/>
      <c r="L312" s="1"/>
    </row>
    <row r="313" spans="1:12" x14ac:dyDescent="0.3">
      <c r="A313" s="3"/>
      <c r="C313" s="1"/>
      <c r="E313" s="1"/>
      <c r="J313" s="3"/>
      <c r="L313" s="1"/>
    </row>
    <row r="314" spans="1:12" x14ac:dyDescent="0.3">
      <c r="A314" s="3"/>
      <c r="C314" s="1"/>
      <c r="E314" s="1"/>
      <c r="J314" s="3"/>
      <c r="L314" s="1"/>
    </row>
    <row r="315" spans="1:12" x14ac:dyDescent="0.3">
      <c r="A315" s="3"/>
      <c r="C315" s="1"/>
      <c r="E315" s="1"/>
      <c r="J315" s="3"/>
      <c r="L315" s="1"/>
    </row>
    <row r="316" spans="1:12" x14ac:dyDescent="0.3">
      <c r="A316" s="3"/>
      <c r="C316" s="1"/>
      <c r="E316" s="1"/>
      <c r="J316" s="3"/>
      <c r="L316" s="1"/>
    </row>
    <row r="317" spans="1:12" x14ac:dyDescent="0.3">
      <c r="A317" s="3"/>
      <c r="C317" s="1"/>
      <c r="E317" s="1"/>
      <c r="J317" s="3"/>
      <c r="L317" s="1"/>
    </row>
    <row r="318" spans="1:12" x14ac:dyDescent="0.3">
      <c r="A318" s="3"/>
      <c r="C318" s="1"/>
      <c r="E318" s="1"/>
      <c r="J318" s="3"/>
      <c r="L318" s="1"/>
    </row>
    <row r="319" spans="1:12" x14ac:dyDescent="0.3">
      <c r="A319" s="3"/>
      <c r="C319" s="1"/>
      <c r="E319" s="1"/>
      <c r="J319" s="3"/>
      <c r="L319" s="1"/>
    </row>
    <row r="320" spans="1:12" x14ac:dyDescent="0.3">
      <c r="A320" s="3"/>
      <c r="C320" s="1"/>
      <c r="E320" s="1"/>
      <c r="J320" s="3"/>
      <c r="L320" s="1"/>
    </row>
    <row r="321" spans="1:12" x14ac:dyDescent="0.3">
      <c r="A321" s="3"/>
      <c r="C321" s="1"/>
      <c r="E321" s="1"/>
      <c r="J321" s="3"/>
      <c r="L321" s="1"/>
    </row>
    <row r="322" spans="1:12" x14ac:dyDescent="0.3">
      <c r="A322" s="3"/>
      <c r="C322" s="1"/>
      <c r="E322" s="1"/>
      <c r="J322" s="3"/>
      <c r="L322" s="1"/>
    </row>
    <row r="323" spans="1:12" x14ac:dyDescent="0.3">
      <c r="A323" s="3"/>
      <c r="C323" s="1"/>
      <c r="E323" s="1"/>
      <c r="J323" s="3"/>
      <c r="L323" s="1"/>
    </row>
    <row r="324" spans="1:12" x14ac:dyDescent="0.3">
      <c r="A324" s="3"/>
      <c r="C324" s="1"/>
      <c r="E324" s="1"/>
      <c r="J324" s="3"/>
      <c r="L324" s="1"/>
    </row>
    <row r="325" spans="1:12" x14ac:dyDescent="0.3">
      <c r="A325" s="3"/>
      <c r="C325" s="1"/>
      <c r="E325" s="1"/>
      <c r="J325" s="3"/>
      <c r="L325" s="1"/>
    </row>
    <row r="326" spans="1:12" x14ac:dyDescent="0.3">
      <c r="A326" s="3"/>
      <c r="C326" s="1"/>
      <c r="E326" s="1"/>
      <c r="J326" s="3"/>
      <c r="L326" s="1"/>
    </row>
    <row r="327" spans="1:12" x14ac:dyDescent="0.3">
      <c r="A327" s="3"/>
      <c r="C327" s="1"/>
      <c r="E327" s="1"/>
      <c r="J327" s="3"/>
      <c r="L327" s="1"/>
    </row>
    <row r="328" spans="1:12" x14ac:dyDescent="0.3">
      <c r="A328" s="3"/>
      <c r="C328" s="1"/>
      <c r="E328" s="1"/>
      <c r="J328" s="3"/>
      <c r="L328" s="1"/>
    </row>
    <row r="329" spans="1:12" x14ac:dyDescent="0.3">
      <c r="A329" s="3"/>
      <c r="C329" s="1"/>
      <c r="E329" s="1"/>
      <c r="J329" s="3"/>
      <c r="L329" s="1"/>
    </row>
    <row r="330" spans="1:12" x14ac:dyDescent="0.3">
      <c r="A330" s="3"/>
      <c r="C330" s="1"/>
      <c r="E330" s="1"/>
      <c r="J330" s="3"/>
      <c r="L330" s="1"/>
    </row>
    <row r="331" spans="1:12" x14ac:dyDescent="0.3">
      <c r="A331" s="3"/>
      <c r="C331" s="1"/>
      <c r="E331" s="1"/>
      <c r="J331" s="3"/>
      <c r="L331" s="1"/>
    </row>
    <row r="332" spans="1:12" x14ac:dyDescent="0.3">
      <c r="A332" s="3"/>
      <c r="C332" s="1"/>
      <c r="E332" s="1"/>
      <c r="J332" s="3"/>
      <c r="L332" s="1"/>
    </row>
    <row r="333" spans="1:12" x14ac:dyDescent="0.3">
      <c r="A333" s="3"/>
      <c r="C333" s="1"/>
      <c r="E333" s="1"/>
      <c r="J333" s="3"/>
      <c r="L333" s="1"/>
    </row>
    <row r="334" spans="1:12" x14ac:dyDescent="0.3">
      <c r="A334" s="3"/>
      <c r="C334" s="1"/>
      <c r="E334" s="1"/>
      <c r="J334" s="3"/>
      <c r="L334" s="1"/>
    </row>
    <row r="335" spans="1:12" x14ac:dyDescent="0.3">
      <c r="A335" s="3"/>
      <c r="C335" s="1"/>
      <c r="E335" s="1"/>
      <c r="J335" s="3"/>
      <c r="L335" s="1"/>
    </row>
    <row r="336" spans="1:12" x14ac:dyDescent="0.3">
      <c r="A336" s="3"/>
      <c r="C336" s="1"/>
      <c r="E336" s="1"/>
      <c r="J336" s="3"/>
      <c r="L336" s="1"/>
    </row>
    <row r="337" spans="1:12" x14ac:dyDescent="0.3">
      <c r="A337" s="3"/>
      <c r="C337" s="1"/>
      <c r="E337" s="1"/>
      <c r="J337" s="3"/>
      <c r="L337" s="1"/>
    </row>
    <row r="338" spans="1:12" x14ac:dyDescent="0.3">
      <c r="A338" s="3"/>
      <c r="C338" s="1"/>
      <c r="E338" s="1"/>
      <c r="J338" s="3"/>
      <c r="L338" s="1"/>
    </row>
    <row r="339" spans="1:12" x14ac:dyDescent="0.3">
      <c r="A339" s="3"/>
      <c r="C339" s="1"/>
      <c r="E339" s="1"/>
      <c r="J339" s="3"/>
      <c r="L339" s="1"/>
    </row>
    <row r="340" spans="1:12" x14ac:dyDescent="0.3">
      <c r="A340" s="3"/>
      <c r="C340" s="1"/>
      <c r="E340" s="1"/>
      <c r="J340" s="3"/>
      <c r="L340" s="1"/>
    </row>
    <row r="341" spans="1:12" x14ac:dyDescent="0.3">
      <c r="A341" s="3"/>
      <c r="C341" s="1"/>
      <c r="E341" s="1"/>
      <c r="J341" s="3"/>
      <c r="L341" s="1"/>
    </row>
    <row r="342" spans="1:12" x14ac:dyDescent="0.3">
      <c r="A342" s="3"/>
      <c r="C342" s="1"/>
      <c r="E342" s="1"/>
      <c r="J342" s="3"/>
      <c r="L342" s="1"/>
    </row>
    <row r="343" spans="1:12" x14ac:dyDescent="0.3">
      <c r="A343" s="3"/>
      <c r="C343" s="1"/>
      <c r="E343" s="1"/>
      <c r="J343" s="3"/>
      <c r="L343" s="1"/>
    </row>
    <row r="344" spans="1:12" x14ac:dyDescent="0.3">
      <c r="A344" s="3"/>
      <c r="C344" s="1"/>
      <c r="E344" s="1"/>
      <c r="J344" s="3"/>
      <c r="L344" s="1"/>
    </row>
    <row r="345" spans="1:12" x14ac:dyDescent="0.3">
      <c r="A345" s="3"/>
      <c r="C345" s="1"/>
      <c r="E345" s="1"/>
      <c r="J345" s="3"/>
      <c r="L345" s="1"/>
    </row>
    <row r="346" spans="1:12" x14ac:dyDescent="0.3">
      <c r="A346" s="3"/>
      <c r="C346" s="1"/>
      <c r="E346" s="1"/>
      <c r="J346" s="3"/>
      <c r="L346" s="1"/>
    </row>
    <row r="347" spans="1:12" x14ac:dyDescent="0.3">
      <c r="A347" s="3"/>
      <c r="C347" s="1"/>
      <c r="E347" s="1"/>
      <c r="J347" s="3"/>
      <c r="L347" s="1"/>
    </row>
    <row r="348" spans="1:12" x14ac:dyDescent="0.3">
      <c r="A348" s="3"/>
      <c r="C348" s="1"/>
      <c r="E348" s="1"/>
      <c r="J348" s="3"/>
      <c r="L348" s="1"/>
    </row>
    <row r="349" spans="1:12" x14ac:dyDescent="0.3">
      <c r="A349" s="3"/>
      <c r="C349" s="1"/>
      <c r="E349" s="1"/>
      <c r="J349" s="3"/>
      <c r="L349" s="1"/>
    </row>
    <row r="350" spans="1:12" x14ac:dyDescent="0.3">
      <c r="A350" s="3"/>
      <c r="C350" s="1"/>
      <c r="E350" s="1"/>
      <c r="J350" s="3"/>
      <c r="L350" s="1"/>
    </row>
    <row r="351" spans="1:12" x14ac:dyDescent="0.3">
      <c r="A351" s="3"/>
      <c r="C351" s="1"/>
      <c r="E351" s="1"/>
      <c r="J351" s="3"/>
      <c r="L351" s="1"/>
    </row>
    <row r="352" spans="1:12" x14ac:dyDescent="0.3">
      <c r="A352" s="3"/>
      <c r="C352" s="1"/>
      <c r="E352" s="1"/>
      <c r="J352" s="3"/>
      <c r="L352" s="1"/>
    </row>
    <row r="353" spans="1:12" x14ac:dyDescent="0.3">
      <c r="A353" s="3"/>
      <c r="C353" s="1"/>
      <c r="E353" s="1"/>
      <c r="J353" s="3"/>
      <c r="L353" s="1"/>
    </row>
    <row r="354" spans="1:12" x14ac:dyDescent="0.3">
      <c r="A354" s="3"/>
      <c r="C354" s="1"/>
      <c r="E354" s="1"/>
      <c r="J354" s="3"/>
      <c r="L354" s="1"/>
    </row>
    <row r="355" spans="1:12" x14ac:dyDescent="0.3">
      <c r="A355" s="3"/>
      <c r="C355" s="1"/>
      <c r="E355" s="1"/>
      <c r="J355" s="3"/>
      <c r="L355" s="1"/>
    </row>
    <row r="356" spans="1:12" x14ac:dyDescent="0.3">
      <c r="A356" s="3"/>
      <c r="C356" s="1"/>
      <c r="E356" s="1"/>
      <c r="J356" s="3"/>
      <c r="L356" s="1"/>
    </row>
    <row r="357" spans="1:12" x14ac:dyDescent="0.3">
      <c r="A357" s="3"/>
      <c r="C357" s="1"/>
      <c r="E357" s="1"/>
      <c r="J357" s="3"/>
      <c r="L357" s="1"/>
    </row>
    <row r="358" spans="1:12" x14ac:dyDescent="0.3">
      <c r="A358" s="3"/>
      <c r="C358" s="1"/>
      <c r="E358" s="1"/>
      <c r="J358" s="3"/>
      <c r="L358" s="1"/>
    </row>
    <row r="359" spans="1:12" x14ac:dyDescent="0.3">
      <c r="A359" s="3"/>
      <c r="C359" s="1"/>
      <c r="E359" s="1"/>
      <c r="J359" s="3"/>
      <c r="L359" s="1"/>
    </row>
    <row r="360" spans="1:12" x14ac:dyDescent="0.3">
      <c r="A360" s="3"/>
      <c r="C360" s="1"/>
      <c r="E360" s="1"/>
      <c r="J360" s="3"/>
      <c r="L360" s="1"/>
    </row>
    <row r="361" spans="1:12" x14ac:dyDescent="0.3">
      <c r="A361" s="3"/>
      <c r="C361" s="1"/>
      <c r="E361" s="1"/>
      <c r="J361" s="3"/>
      <c r="L361" s="1"/>
    </row>
    <row r="362" spans="1:12" x14ac:dyDescent="0.3">
      <c r="A362" s="3"/>
      <c r="C362" s="1"/>
      <c r="E362" s="1"/>
      <c r="J362" s="3"/>
      <c r="L362" s="1"/>
    </row>
    <row r="363" spans="1:12" x14ac:dyDescent="0.3">
      <c r="A363" s="3"/>
      <c r="C363" s="1"/>
      <c r="E363" s="1"/>
      <c r="J363" s="3"/>
      <c r="L363" s="1"/>
    </row>
    <row r="364" spans="1:12" x14ac:dyDescent="0.3">
      <c r="A364" s="3"/>
      <c r="C364" s="1"/>
      <c r="E364" s="1"/>
      <c r="J364" s="3"/>
      <c r="L364" s="1"/>
    </row>
    <row r="365" spans="1:12" x14ac:dyDescent="0.3">
      <c r="A365" s="3"/>
      <c r="C365" s="1"/>
      <c r="E365" s="1"/>
      <c r="J365" s="3"/>
      <c r="L365" s="1"/>
    </row>
    <row r="366" spans="1:12" x14ac:dyDescent="0.3">
      <c r="A366" s="3"/>
      <c r="C366" s="1"/>
      <c r="E366" s="1"/>
      <c r="J366" s="3"/>
      <c r="L366" s="1"/>
    </row>
    <row r="367" spans="1:12" x14ac:dyDescent="0.3">
      <c r="A367" s="3"/>
      <c r="C367" s="1"/>
      <c r="E367" s="1"/>
      <c r="J367" s="3"/>
      <c r="L367" s="1"/>
    </row>
    <row r="368" spans="1:12" x14ac:dyDescent="0.3">
      <c r="A368" s="3"/>
      <c r="C368" s="1"/>
      <c r="E368" s="1"/>
      <c r="J368" s="3"/>
      <c r="L368" s="1"/>
    </row>
    <row r="369" spans="1:12" x14ac:dyDescent="0.3">
      <c r="A369" s="3"/>
      <c r="C369" s="1"/>
      <c r="E369" s="1"/>
      <c r="J369" s="3"/>
      <c r="L369" s="1"/>
    </row>
    <row r="370" spans="1:12" x14ac:dyDescent="0.3">
      <c r="A370" s="3"/>
      <c r="C370" s="1"/>
      <c r="E370" s="1"/>
      <c r="J370" s="3"/>
      <c r="L370" s="1"/>
    </row>
    <row r="371" spans="1:12" x14ac:dyDescent="0.3">
      <c r="A371" s="3"/>
      <c r="C371" s="1"/>
      <c r="E371" s="1"/>
      <c r="J371" s="3"/>
      <c r="L371" s="1"/>
    </row>
    <row r="372" spans="1:12" x14ac:dyDescent="0.3">
      <c r="A372" s="3"/>
      <c r="C372" s="1"/>
      <c r="E372" s="1"/>
      <c r="J372" s="3"/>
      <c r="L372" s="1"/>
    </row>
    <row r="373" spans="1:12" x14ac:dyDescent="0.3">
      <c r="A373" s="3"/>
      <c r="C373" s="1"/>
      <c r="E373" s="1"/>
      <c r="J373" s="3"/>
      <c r="L373" s="1"/>
    </row>
    <row r="374" spans="1:12" x14ac:dyDescent="0.3">
      <c r="A374" s="3"/>
      <c r="C374" s="1"/>
      <c r="E374" s="1"/>
      <c r="J374" s="3"/>
      <c r="L374" s="1"/>
    </row>
    <row r="375" spans="1:12" x14ac:dyDescent="0.3">
      <c r="A375" s="3"/>
      <c r="C375" s="1"/>
      <c r="E375" s="1"/>
      <c r="J375" s="3"/>
      <c r="L375" s="1"/>
    </row>
    <row r="376" spans="1:12" x14ac:dyDescent="0.3">
      <c r="A376" s="3"/>
      <c r="C376" s="1"/>
      <c r="E376" s="1"/>
      <c r="J376" s="3"/>
      <c r="L376" s="1"/>
    </row>
    <row r="377" spans="1:12" x14ac:dyDescent="0.3">
      <c r="A377" s="3"/>
      <c r="C377" s="1"/>
      <c r="E377" s="1"/>
      <c r="J377" s="3"/>
      <c r="L377" s="1"/>
    </row>
    <row r="378" spans="1:12" x14ac:dyDescent="0.3">
      <c r="A378" s="3"/>
      <c r="C378" s="1"/>
      <c r="E378" s="1"/>
      <c r="J378" s="3"/>
      <c r="L378" s="1"/>
    </row>
    <row r="379" spans="1:12" x14ac:dyDescent="0.3">
      <c r="A379" s="3"/>
      <c r="C379" s="1"/>
      <c r="E379" s="1"/>
      <c r="J379" s="3"/>
      <c r="L379" s="1"/>
    </row>
    <row r="380" spans="1:12" x14ac:dyDescent="0.3">
      <c r="A380" s="3"/>
      <c r="C380" s="1"/>
      <c r="E380" s="1"/>
      <c r="J380" s="3"/>
      <c r="L380" s="1"/>
    </row>
    <row r="381" spans="1:12" x14ac:dyDescent="0.3">
      <c r="A381" s="3"/>
      <c r="C381" s="1"/>
      <c r="E381" s="1"/>
      <c r="J381" s="3"/>
      <c r="L381" s="1"/>
    </row>
    <row r="382" spans="1:12" x14ac:dyDescent="0.3">
      <c r="A382" s="3"/>
      <c r="C382" s="1"/>
      <c r="E382" s="1"/>
      <c r="J382" s="3"/>
      <c r="L382" s="1"/>
    </row>
    <row r="383" spans="1:12" x14ac:dyDescent="0.3">
      <c r="A383" s="3"/>
      <c r="C383" s="1"/>
      <c r="E383" s="1"/>
      <c r="J383" s="3"/>
      <c r="L383" s="1"/>
    </row>
    <row r="384" spans="1:12" x14ac:dyDescent="0.3">
      <c r="A384" s="3"/>
      <c r="C384" s="1"/>
      <c r="E384" s="1"/>
      <c r="J384" s="3"/>
      <c r="L384" s="1"/>
    </row>
    <row r="385" spans="1:12" x14ac:dyDescent="0.3">
      <c r="A385" s="3"/>
      <c r="C385" s="1"/>
      <c r="E385" s="1"/>
      <c r="J385" s="3"/>
      <c r="L385" s="1"/>
    </row>
    <row r="386" spans="1:12" x14ac:dyDescent="0.3">
      <c r="A386" s="3"/>
      <c r="C386" s="1"/>
      <c r="E386" s="1"/>
      <c r="J386" s="3"/>
      <c r="L386" s="1"/>
    </row>
    <row r="387" spans="1:12" x14ac:dyDescent="0.3">
      <c r="A387" s="3"/>
      <c r="C387" s="1"/>
      <c r="E387" s="1"/>
      <c r="J387" s="3"/>
      <c r="L387" s="1"/>
    </row>
    <row r="388" spans="1:12" x14ac:dyDescent="0.3">
      <c r="A388" s="3"/>
      <c r="C388" s="1"/>
      <c r="E388" s="1"/>
      <c r="J388" s="3"/>
      <c r="L388" s="1"/>
    </row>
    <row r="389" spans="1:12" x14ac:dyDescent="0.3">
      <c r="A389" s="3"/>
      <c r="C389" s="1"/>
      <c r="E389" s="1"/>
      <c r="J389" s="3"/>
      <c r="L389" s="1"/>
    </row>
    <row r="390" spans="1:12" x14ac:dyDescent="0.3">
      <c r="A390" s="3"/>
      <c r="C390" s="1"/>
      <c r="E390" s="1"/>
      <c r="J390" s="3"/>
      <c r="L390" s="1"/>
    </row>
    <row r="391" spans="1:12" x14ac:dyDescent="0.3">
      <c r="A391" s="3"/>
      <c r="C391" s="1"/>
      <c r="E391" s="1"/>
      <c r="J391" s="3"/>
      <c r="L391" s="1"/>
    </row>
    <row r="392" spans="1:12" x14ac:dyDescent="0.3">
      <c r="A392" s="3"/>
      <c r="C392" s="1"/>
      <c r="E392" s="1"/>
      <c r="J392" s="3"/>
      <c r="L392" s="1"/>
    </row>
    <row r="393" spans="1:12" x14ac:dyDescent="0.3">
      <c r="A393" s="3"/>
      <c r="C393" s="1"/>
      <c r="E393" s="1"/>
      <c r="J393" s="3"/>
      <c r="L393" s="1"/>
    </row>
    <row r="394" spans="1:12" x14ac:dyDescent="0.3">
      <c r="A394" s="3"/>
      <c r="C394" s="1"/>
      <c r="E394" s="1"/>
      <c r="J394" s="3"/>
      <c r="L394" s="1"/>
    </row>
    <row r="395" spans="1:12" x14ac:dyDescent="0.3">
      <c r="A395" s="3"/>
      <c r="C395" s="1"/>
      <c r="E395" s="1"/>
      <c r="J395" s="3"/>
      <c r="L395" s="1"/>
    </row>
    <row r="396" spans="1:12" x14ac:dyDescent="0.3">
      <c r="A396" s="3"/>
      <c r="C396" s="1"/>
      <c r="E396" s="1"/>
      <c r="J396" s="3"/>
      <c r="L396" s="1"/>
    </row>
    <row r="397" spans="1:12" x14ac:dyDescent="0.3">
      <c r="A397" s="3"/>
      <c r="C397" s="1"/>
      <c r="E397" s="1"/>
      <c r="J397" s="3"/>
      <c r="L397" s="1"/>
    </row>
    <row r="398" spans="1:12" x14ac:dyDescent="0.3">
      <c r="A398" s="3"/>
      <c r="C398" s="1"/>
      <c r="E398" s="1"/>
      <c r="J398" s="3"/>
      <c r="L398" s="1"/>
    </row>
    <row r="399" spans="1:12" x14ac:dyDescent="0.3">
      <c r="A399" s="3"/>
      <c r="C399" s="1"/>
      <c r="E399" s="1"/>
      <c r="J399" s="3"/>
      <c r="L399" s="1"/>
    </row>
    <row r="400" spans="1:12" x14ac:dyDescent="0.3">
      <c r="A400" s="3"/>
      <c r="C400" s="1"/>
      <c r="E400" s="1"/>
      <c r="J400" s="3"/>
      <c r="L400" s="1"/>
    </row>
    <row r="401" spans="1:12" x14ac:dyDescent="0.3">
      <c r="A401" s="3"/>
      <c r="C401" s="1"/>
      <c r="E401" s="1"/>
      <c r="J401" s="3"/>
      <c r="L401" s="1"/>
    </row>
    <row r="402" spans="1:12" x14ac:dyDescent="0.3">
      <c r="A402" s="3"/>
      <c r="C402" s="1"/>
      <c r="E402" s="1"/>
      <c r="J402" s="3"/>
      <c r="L402" s="1"/>
    </row>
    <row r="403" spans="1:12" x14ac:dyDescent="0.3">
      <c r="A403" s="3"/>
      <c r="C403" s="1"/>
      <c r="E403" s="1"/>
      <c r="J403" s="3"/>
      <c r="L403" s="1"/>
    </row>
    <row r="404" spans="1:12" x14ac:dyDescent="0.3">
      <c r="A404" s="3"/>
      <c r="C404" s="1"/>
      <c r="E404" s="1"/>
      <c r="J404" s="3"/>
      <c r="L404" s="1"/>
    </row>
    <row r="405" spans="1:12" x14ac:dyDescent="0.3">
      <c r="A405" s="3"/>
      <c r="C405" s="1"/>
      <c r="E405" s="1"/>
      <c r="J405" s="3"/>
      <c r="L405" s="1"/>
    </row>
    <row r="406" spans="1:12" x14ac:dyDescent="0.3">
      <c r="A406" s="3"/>
      <c r="C406" s="1"/>
      <c r="E406" s="1"/>
      <c r="J406" s="3"/>
      <c r="L406" s="1"/>
    </row>
    <row r="407" spans="1:12" x14ac:dyDescent="0.3">
      <c r="A407" s="3"/>
      <c r="C407" s="1"/>
      <c r="E407" s="1"/>
      <c r="J407" s="3"/>
      <c r="L407" s="1"/>
    </row>
    <row r="408" spans="1:12" x14ac:dyDescent="0.3">
      <c r="A408" s="3"/>
      <c r="C408" s="1"/>
      <c r="E408" s="1"/>
      <c r="J408" s="3"/>
      <c r="L408" s="1"/>
    </row>
    <row r="409" spans="1:12" x14ac:dyDescent="0.3">
      <c r="A409" s="3"/>
      <c r="C409" s="1"/>
      <c r="E409" s="1"/>
      <c r="J409" s="3"/>
      <c r="L409" s="1"/>
    </row>
    <row r="410" spans="1:12" x14ac:dyDescent="0.3">
      <c r="A410" s="3"/>
      <c r="C410" s="1"/>
      <c r="E410" s="1"/>
      <c r="J410" s="3"/>
      <c r="L410" s="1"/>
    </row>
    <row r="411" spans="1:12" x14ac:dyDescent="0.3">
      <c r="A411" s="3"/>
      <c r="C411" s="1"/>
      <c r="E411" s="1"/>
      <c r="J411" s="3"/>
      <c r="L411" s="1"/>
    </row>
    <row r="412" spans="1:12" x14ac:dyDescent="0.3">
      <c r="A412" s="3"/>
      <c r="C412" s="1"/>
      <c r="E412" s="1"/>
      <c r="J412" s="3"/>
      <c r="L412" s="1"/>
    </row>
    <row r="413" spans="1:12" x14ac:dyDescent="0.3">
      <c r="A413" s="3"/>
      <c r="C413" s="1"/>
      <c r="E413" s="1"/>
      <c r="J413" s="3"/>
      <c r="L413" s="1"/>
    </row>
    <row r="414" spans="1:12" x14ac:dyDescent="0.3">
      <c r="A414" s="3"/>
      <c r="C414" s="1"/>
      <c r="E414" s="1"/>
      <c r="J414" s="3"/>
      <c r="L414" s="1"/>
    </row>
    <row r="415" spans="1:12" x14ac:dyDescent="0.3">
      <c r="A415" s="3"/>
      <c r="C415" s="1"/>
      <c r="E415" s="1"/>
      <c r="J415" s="3"/>
      <c r="L415" s="1"/>
    </row>
    <row r="416" spans="1:12" x14ac:dyDescent="0.3">
      <c r="A416" s="3"/>
      <c r="C416" s="1"/>
      <c r="E416" s="1"/>
      <c r="J416" s="3"/>
      <c r="L416" s="1"/>
    </row>
    <row r="417" spans="1:12" x14ac:dyDescent="0.3">
      <c r="A417" s="3"/>
      <c r="C417" s="1"/>
      <c r="E417" s="1"/>
      <c r="J417" s="3"/>
      <c r="L417" s="1"/>
    </row>
    <row r="418" spans="1:12" x14ac:dyDescent="0.3">
      <c r="A418" s="3"/>
      <c r="C418" s="1"/>
      <c r="E418" s="1"/>
      <c r="J418" s="3"/>
      <c r="L418" s="1"/>
    </row>
    <row r="419" spans="1:12" x14ac:dyDescent="0.3">
      <c r="A419" s="3"/>
      <c r="C419" s="1"/>
      <c r="E419" s="1"/>
      <c r="J419" s="3"/>
      <c r="L419" s="1"/>
    </row>
    <row r="420" spans="1:12" x14ac:dyDescent="0.3">
      <c r="A420" s="3"/>
      <c r="C420" s="1"/>
      <c r="E420" s="1"/>
      <c r="J420" s="3"/>
      <c r="L420" s="1"/>
    </row>
    <row r="421" spans="1:12" x14ac:dyDescent="0.3">
      <c r="A421" s="3"/>
      <c r="C421" s="1"/>
      <c r="E421" s="1"/>
      <c r="J421" s="3"/>
      <c r="L421" s="1"/>
    </row>
    <row r="422" spans="1:12" x14ac:dyDescent="0.3">
      <c r="A422" s="3"/>
      <c r="C422" s="1"/>
      <c r="E422" s="1"/>
      <c r="J422" s="3"/>
      <c r="L422" s="1"/>
    </row>
    <row r="423" spans="1:12" x14ac:dyDescent="0.3">
      <c r="A423" s="3"/>
      <c r="C423" s="1"/>
      <c r="E423" s="1"/>
      <c r="J423" s="3"/>
      <c r="L423" s="1"/>
    </row>
    <row r="424" spans="1:12" x14ac:dyDescent="0.3">
      <c r="A424" s="3"/>
      <c r="C424" s="1"/>
      <c r="E424" s="1"/>
      <c r="J424" s="3"/>
      <c r="L424" s="1"/>
    </row>
    <row r="425" spans="1:12" x14ac:dyDescent="0.3">
      <c r="A425" s="3"/>
      <c r="C425" s="1"/>
      <c r="E425" s="1"/>
      <c r="J425" s="3"/>
      <c r="L425" s="1"/>
    </row>
    <row r="426" spans="1:12" x14ac:dyDescent="0.3">
      <c r="A426" s="3"/>
      <c r="C426" s="1"/>
      <c r="E426" s="1"/>
      <c r="J426" s="3"/>
      <c r="L426" s="1"/>
    </row>
    <row r="427" spans="1:12" x14ac:dyDescent="0.3">
      <c r="A427" s="3"/>
      <c r="C427" s="1"/>
      <c r="E427" s="1"/>
      <c r="J427" s="3"/>
      <c r="L427" s="1"/>
    </row>
    <row r="428" spans="1:12" x14ac:dyDescent="0.3">
      <c r="A428" s="3"/>
      <c r="C428" s="1"/>
      <c r="E428" s="1"/>
      <c r="J428" s="3"/>
      <c r="L428" s="1"/>
    </row>
    <row r="429" spans="1:12" x14ac:dyDescent="0.3">
      <c r="A429" s="3"/>
      <c r="C429" s="1"/>
      <c r="E429" s="1"/>
      <c r="J429" s="3"/>
      <c r="L429" s="1"/>
    </row>
    <row r="430" spans="1:12" x14ac:dyDescent="0.3">
      <c r="A430" s="3"/>
      <c r="C430" s="1"/>
      <c r="E430" s="1"/>
      <c r="J430" s="3"/>
      <c r="L430" s="1"/>
    </row>
    <row r="431" spans="1:12" x14ac:dyDescent="0.3">
      <c r="A431" s="3"/>
      <c r="C431" s="1"/>
      <c r="E431" s="1"/>
      <c r="J431" s="3"/>
      <c r="L431" s="1"/>
    </row>
    <row r="432" spans="1:12" x14ac:dyDescent="0.3">
      <c r="A432" s="3"/>
      <c r="C432" s="1"/>
      <c r="E432" s="1"/>
      <c r="J432" s="3"/>
      <c r="L432" s="1"/>
    </row>
    <row r="433" spans="1:12" x14ac:dyDescent="0.3">
      <c r="A433" s="3"/>
      <c r="C433" s="1"/>
      <c r="E433" s="1"/>
      <c r="J433" s="3"/>
      <c r="L433" s="1"/>
    </row>
    <row r="434" spans="1:12" x14ac:dyDescent="0.3">
      <c r="A434" s="3"/>
      <c r="C434" s="1"/>
      <c r="E434" s="1"/>
      <c r="J434" s="3"/>
      <c r="L434" s="1"/>
    </row>
    <row r="435" spans="1:12" x14ac:dyDescent="0.3">
      <c r="A435" s="3"/>
      <c r="C435" s="1"/>
      <c r="E435" s="1"/>
      <c r="J435" s="3"/>
      <c r="L435" s="1"/>
    </row>
    <row r="436" spans="1:12" x14ac:dyDescent="0.3">
      <c r="A436" s="3"/>
      <c r="C436" s="1"/>
      <c r="E436" s="1"/>
      <c r="J436" s="3"/>
      <c r="L436" s="1"/>
    </row>
    <row r="437" spans="1:12" x14ac:dyDescent="0.3">
      <c r="A437" s="3"/>
      <c r="C437" s="1"/>
      <c r="E437" s="1"/>
      <c r="J437" s="3"/>
      <c r="L437" s="1"/>
    </row>
    <row r="438" spans="1:12" x14ac:dyDescent="0.3">
      <c r="A438" s="3"/>
      <c r="C438" s="1"/>
      <c r="E438" s="1"/>
      <c r="J438" s="3"/>
      <c r="L438" s="1"/>
    </row>
    <row r="439" spans="1:12" x14ac:dyDescent="0.3">
      <c r="A439" s="3"/>
      <c r="C439" s="1"/>
      <c r="E439" s="1"/>
      <c r="J439" s="3"/>
      <c r="L439" s="1"/>
    </row>
    <row r="440" spans="1:12" x14ac:dyDescent="0.3">
      <c r="A440" s="3"/>
      <c r="C440" s="1"/>
      <c r="E440" s="1"/>
      <c r="J440" s="3"/>
      <c r="L440" s="1"/>
    </row>
    <row r="441" spans="1:12" x14ac:dyDescent="0.3">
      <c r="A441" s="3"/>
      <c r="C441" s="1"/>
      <c r="E441" s="1"/>
      <c r="J441" s="3"/>
      <c r="L441" s="1"/>
    </row>
    <row r="442" spans="1:12" x14ac:dyDescent="0.3">
      <c r="A442" s="3"/>
      <c r="C442" s="1"/>
      <c r="E442" s="1"/>
      <c r="J442" s="3"/>
      <c r="L442" s="1"/>
    </row>
    <row r="443" spans="1:12" x14ac:dyDescent="0.3">
      <c r="A443" s="3"/>
      <c r="C443" s="1"/>
      <c r="E443" s="1"/>
      <c r="J443" s="3"/>
      <c r="L443" s="1"/>
    </row>
    <row r="444" spans="1:12" x14ac:dyDescent="0.3">
      <c r="A444" s="3"/>
      <c r="C444" s="1"/>
      <c r="E444" s="1"/>
      <c r="J444" s="3"/>
      <c r="L444" s="1"/>
    </row>
    <row r="445" spans="1:12" x14ac:dyDescent="0.3">
      <c r="A445" s="3"/>
      <c r="C445" s="1"/>
      <c r="E445" s="1"/>
      <c r="J445" s="3"/>
      <c r="L445" s="1"/>
    </row>
    <row r="446" spans="1:12" x14ac:dyDescent="0.3">
      <c r="A446" s="3"/>
      <c r="C446" s="1"/>
      <c r="E446" s="1"/>
      <c r="J446" s="3"/>
      <c r="L446" s="1"/>
    </row>
    <row r="447" spans="1:12" x14ac:dyDescent="0.3">
      <c r="A447" s="3"/>
      <c r="C447" s="1"/>
      <c r="E447" s="1"/>
      <c r="J447" s="3"/>
      <c r="L447" s="1"/>
    </row>
    <row r="448" spans="1:12" x14ac:dyDescent="0.3">
      <c r="A448" s="3"/>
      <c r="C448" s="1"/>
      <c r="E448" s="1"/>
      <c r="J448" s="3"/>
      <c r="L448" s="1"/>
    </row>
    <row r="449" spans="1:12" x14ac:dyDescent="0.3">
      <c r="A449" s="3"/>
      <c r="C449" s="1"/>
      <c r="E449" s="1"/>
      <c r="J449" s="3"/>
      <c r="L449" s="1"/>
    </row>
    <row r="450" spans="1:12" x14ac:dyDescent="0.3">
      <c r="A450" s="3"/>
      <c r="C450" s="1"/>
      <c r="E450" s="1"/>
      <c r="J450" s="3"/>
      <c r="L450" s="1"/>
    </row>
    <row r="451" spans="1:12" x14ac:dyDescent="0.3">
      <c r="A451" s="3"/>
      <c r="C451" s="1"/>
      <c r="E451" s="1"/>
      <c r="J451" s="3"/>
      <c r="L451" s="1"/>
    </row>
    <row r="452" spans="1:12" x14ac:dyDescent="0.3">
      <c r="A452" s="3"/>
      <c r="C452" s="1"/>
      <c r="E452" s="1"/>
      <c r="J452" s="3"/>
      <c r="L452" s="1"/>
    </row>
    <row r="453" spans="1:12" x14ac:dyDescent="0.3">
      <c r="A453" s="3"/>
      <c r="C453" s="1"/>
      <c r="E453" s="1"/>
      <c r="J453" s="3"/>
      <c r="L453" s="1"/>
    </row>
    <row r="454" spans="1:12" x14ac:dyDescent="0.3">
      <c r="A454" s="3"/>
      <c r="C454" s="1"/>
      <c r="E454" s="1"/>
      <c r="J454" s="3"/>
      <c r="L454" s="1"/>
    </row>
    <row r="455" spans="1:12" x14ac:dyDescent="0.3">
      <c r="A455" s="3"/>
      <c r="C455" s="1"/>
      <c r="E455" s="1"/>
      <c r="J455" s="3"/>
      <c r="L455" s="1"/>
    </row>
    <row r="456" spans="1:12" x14ac:dyDescent="0.3">
      <c r="A456" s="3"/>
      <c r="C456" s="1"/>
      <c r="E456" s="1"/>
      <c r="J456" s="3"/>
      <c r="L456" s="1"/>
    </row>
    <row r="457" spans="1:12" x14ac:dyDescent="0.3">
      <c r="A457" s="3"/>
      <c r="C457" s="1"/>
      <c r="E457" s="1"/>
      <c r="J457" s="3"/>
      <c r="L457" s="1"/>
    </row>
    <row r="458" spans="1:12" x14ac:dyDescent="0.3">
      <c r="A458" s="3"/>
      <c r="C458" s="1"/>
      <c r="E458" s="1"/>
      <c r="J458" s="3"/>
      <c r="L458" s="1"/>
    </row>
    <row r="459" spans="1:12" x14ac:dyDescent="0.3">
      <c r="A459" s="3"/>
      <c r="C459" s="1"/>
      <c r="E459" s="1"/>
      <c r="J459" s="3"/>
      <c r="L459" s="1"/>
    </row>
    <row r="460" spans="1:12" x14ac:dyDescent="0.3">
      <c r="A460" s="3"/>
      <c r="C460" s="1"/>
      <c r="E460" s="1"/>
      <c r="J460" s="3"/>
      <c r="L460" s="1"/>
    </row>
    <row r="461" spans="1:12" x14ac:dyDescent="0.3">
      <c r="A461" s="3"/>
      <c r="C461" s="1"/>
      <c r="E461" s="1"/>
      <c r="J461" s="3"/>
      <c r="L461" s="1"/>
    </row>
    <row r="462" spans="1:12" x14ac:dyDescent="0.3">
      <c r="A462" s="3"/>
      <c r="C462" s="1"/>
      <c r="E462" s="1"/>
      <c r="J462" s="3"/>
      <c r="L462" s="1"/>
    </row>
    <row r="463" spans="1:12" x14ac:dyDescent="0.3">
      <c r="A463" s="3"/>
      <c r="C463" s="1"/>
      <c r="E463" s="1"/>
      <c r="J463" s="3"/>
      <c r="L463" s="1"/>
    </row>
    <row r="464" spans="1:12" x14ac:dyDescent="0.3">
      <c r="A464" s="3"/>
      <c r="C464" s="1"/>
      <c r="E464" s="1"/>
      <c r="J464" s="3"/>
      <c r="L464" s="1"/>
    </row>
    <row r="465" spans="1:12" x14ac:dyDescent="0.3">
      <c r="A465" s="3"/>
      <c r="C465" s="1"/>
      <c r="E465" s="1"/>
      <c r="J465" s="3"/>
      <c r="L465" s="1"/>
    </row>
    <row r="466" spans="1:12" x14ac:dyDescent="0.3">
      <c r="A466" s="3"/>
      <c r="C466" s="1"/>
      <c r="E466" s="1"/>
      <c r="J466" s="3"/>
      <c r="L466" s="1"/>
    </row>
    <row r="467" spans="1:12" x14ac:dyDescent="0.3">
      <c r="A467" s="3"/>
      <c r="C467" s="1"/>
      <c r="E467" s="1"/>
      <c r="J467" s="3"/>
      <c r="L467" s="1"/>
    </row>
    <row r="468" spans="1:12" x14ac:dyDescent="0.3">
      <c r="A468" s="3"/>
      <c r="C468" s="1"/>
      <c r="E468" s="1"/>
      <c r="J468" s="3"/>
      <c r="L468" s="1"/>
    </row>
    <row r="469" spans="1:12" x14ac:dyDescent="0.3">
      <c r="A469" s="3"/>
      <c r="C469" s="1"/>
      <c r="E469" s="1"/>
      <c r="J469" s="3"/>
      <c r="L469" s="1"/>
    </row>
    <row r="470" spans="1:12" x14ac:dyDescent="0.3">
      <c r="A470" s="3"/>
      <c r="C470" s="1"/>
      <c r="E470" s="1"/>
      <c r="J470" s="3"/>
      <c r="L470" s="1"/>
    </row>
    <row r="471" spans="1:12" x14ac:dyDescent="0.3">
      <c r="A471" s="3"/>
      <c r="C471" s="1"/>
      <c r="E471" s="1"/>
      <c r="J471" s="3"/>
      <c r="L471" s="1"/>
    </row>
    <row r="472" spans="1:12" x14ac:dyDescent="0.3">
      <c r="A472" s="3"/>
      <c r="C472" s="1"/>
      <c r="E472" s="1"/>
      <c r="J472" s="3"/>
      <c r="L472" s="1"/>
    </row>
    <row r="473" spans="1:12" x14ac:dyDescent="0.3">
      <c r="A473" s="3"/>
      <c r="C473" s="1"/>
      <c r="E473" s="1"/>
      <c r="J473" s="3"/>
      <c r="L473" s="1"/>
    </row>
    <row r="474" spans="1:12" x14ac:dyDescent="0.3">
      <c r="A474" s="3"/>
      <c r="C474" s="1"/>
      <c r="E474" s="1"/>
      <c r="J474" s="3"/>
      <c r="L474" s="1"/>
    </row>
    <row r="475" spans="1:12" x14ac:dyDescent="0.3">
      <c r="A475" s="3"/>
      <c r="C475" s="1"/>
      <c r="E475" s="1"/>
      <c r="J475" s="3"/>
      <c r="L475" s="1"/>
    </row>
    <row r="476" spans="1:12" x14ac:dyDescent="0.3">
      <c r="A476" s="3"/>
      <c r="C476" s="1"/>
      <c r="E476" s="1"/>
      <c r="J476" s="3"/>
      <c r="L476" s="1"/>
    </row>
    <row r="477" spans="1:12" x14ac:dyDescent="0.3">
      <c r="A477" s="3"/>
      <c r="C477" s="1"/>
      <c r="E477" s="1"/>
      <c r="J477" s="3"/>
      <c r="L477" s="1"/>
    </row>
    <row r="478" spans="1:12" x14ac:dyDescent="0.3">
      <c r="A478" s="3"/>
      <c r="C478" s="1"/>
      <c r="E478" s="1"/>
      <c r="J478" s="3"/>
      <c r="L478" s="1"/>
    </row>
    <row r="479" spans="1:12" x14ac:dyDescent="0.3">
      <c r="A479" s="3"/>
      <c r="C479" s="1"/>
      <c r="E479" s="1"/>
      <c r="J479" s="3"/>
      <c r="L479" s="1"/>
    </row>
    <row r="480" spans="1:12" x14ac:dyDescent="0.3">
      <c r="A480" s="3"/>
      <c r="C480" s="1"/>
      <c r="E480" s="1"/>
      <c r="J480" s="3"/>
      <c r="L480" s="1"/>
    </row>
    <row r="481" spans="1:12" x14ac:dyDescent="0.3">
      <c r="A481" s="3"/>
      <c r="C481" s="1"/>
      <c r="E481" s="1"/>
      <c r="J481" s="3"/>
      <c r="L481" s="1"/>
    </row>
    <row r="482" spans="1:12" x14ac:dyDescent="0.3">
      <c r="A482" s="3"/>
      <c r="C482" s="1"/>
      <c r="E482" s="1"/>
      <c r="J482" s="3"/>
      <c r="L482" s="1"/>
    </row>
    <row r="483" spans="1:12" x14ac:dyDescent="0.3">
      <c r="A483" s="3"/>
      <c r="C483" s="1"/>
      <c r="E483" s="1"/>
      <c r="J483" s="3"/>
      <c r="L483" s="1"/>
    </row>
    <row r="484" spans="1:12" x14ac:dyDescent="0.3">
      <c r="A484" s="3"/>
      <c r="C484" s="1"/>
      <c r="E484" s="1"/>
      <c r="J484" s="3"/>
      <c r="L484" s="1"/>
    </row>
    <row r="485" spans="1:12" x14ac:dyDescent="0.3">
      <c r="A485" s="3"/>
      <c r="C485" s="1"/>
      <c r="E485" s="1"/>
      <c r="J485" s="3"/>
      <c r="L485" s="1"/>
    </row>
    <row r="486" spans="1:12" x14ac:dyDescent="0.3">
      <c r="A486" s="3"/>
      <c r="C486" s="1"/>
      <c r="E486" s="1"/>
      <c r="J486" s="3"/>
      <c r="L486" s="1"/>
    </row>
    <row r="487" spans="1:12" x14ac:dyDescent="0.3">
      <c r="A487" s="3"/>
      <c r="C487" s="1"/>
      <c r="E487" s="1"/>
      <c r="J487" s="3"/>
      <c r="L487" s="1"/>
    </row>
    <row r="488" spans="1:12" x14ac:dyDescent="0.3">
      <c r="A488" s="3"/>
      <c r="C488" s="1"/>
      <c r="E488" s="1"/>
      <c r="J488" s="3"/>
      <c r="L488" s="1"/>
    </row>
    <row r="489" spans="1:12" x14ac:dyDescent="0.3">
      <c r="A489" s="3"/>
      <c r="C489" s="1"/>
      <c r="E489" s="1"/>
      <c r="J489" s="3"/>
      <c r="L489" s="1"/>
    </row>
    <row r="490" spans="1:12" x14ac:dyDescent="0.3">
      <c r="A490" s="3"/>
      <c r="C490" s="1"/>
      <c r="E490" s="1"/>
      <c r="J490" s="3"/>
      <c r="L490" s="1"/>
    </row>
    <row r="491" spans="1:12" x14ac:dyDescent="0.3">
      <c r="A491" s="3"/>
      <c r="C491" s="1"/>
      <c r="E491" s="1"/>
      <c r="J491" s="3"/>
      <c r="L491" s="1"/>
    </row>
    <row r="492" spans="1:12" x14ac:dyDescent="0.3">
      <c r="A492" s="3"/>
      <c r="C492" s="1"/>
      <c r="E492" s="1"/>
      <c r="J492" s="3"/>
      <c r="L492" s="1"/>
    </row>
    <row r="493" spans="1:12" x14ac:dyDescent="0.3">
      <c r="A493" s="3"/>
      <c r="C493" s="1"/>
      <c r="E493" s="1"/>
      <c r="J493" s="3"/>
      <c r="L493" s="1"/>
    </row>
    <row r="494" spans="1:12" x14ac:dyDescent="0.3">
      <c r="A494" s="3"/>
      <c r="C494" s="1"/>
      <c r="E494" s="1"/>
      <c r="J494" s="3"/>
      <c r="L494" s="1"/>
    </row>
    <row r="495" spans="1:12" x14ac:dyDescent="0.3">
      <c r="A495" s="3"/>
      <c r="C495" s="1"/>
      <c r="E495" s="1"/>
      <c r="J495" s="3"/>
      <c r="L495" s="1"/>
    </row>
    <row r="496" spans="1:12" x14ac:dyDescent="0.3">
      <c r="A496" s="3"/>
      <c r="C496" s="1"/>
      <c r="E496" s="1"/>
      <c r="J496" s="3"/>
      <c r="L496" s="1"/>
    </row>
    <row r="497" spans="1:12" x14ac:dyDescent="0.3">
      <c r="A497" s="3"/>
      <c r="C497" s="1"/>
      <c r="E497" s="1"/>
      <c r="J497" s="3"/>
      <c r="L497" s="1"/>
    </row>
    <row r="498" spans="1:12" x14ac:dyDescent="0.3">
      <c r="A498" s="3"/>
      <c r="C498" s="1"/>
      <c r="E498" s="1"/>
      <c r="J498" s="3"/>
      <c r="L498" s="1"/>
    </row>
    <row r="499" spans="1:12" x14ac:dyDescent="0.3">
      <c r="A499" s="3"/>
      <c r="C499" s="1"/>
      <c r="E499" s="1"/>
      <c r="J499" s="3"/>
      <c r="L499" s="1"/>
    </row>
    <row r="500" spans="1:12" x14ac:dyDescent="0.3">
      <c r="A500" s="3"/>
      <c r="C500" s="1"/>
      <c r="E500" s="1"/>
      <c r="J500" s="3"/>
      <c r="L500" s="1"/>
    </row>
    <row r="501" spans="1:12" x14ac:dyDescent="0.3">
      <c r="A501" s="3"/>
      <c r="C501" s="1"/>
      <c r="E501" s="1"/>
      <c r="J501" s="3"/>
      <c r="L501" s="1"/>
    </row>
    <row r="502" spans="1:12" x14ac:dyDescent="0.3">
      <c r="A502" s="3"/>
      <c r="C502" s="1"/>
      <c r="E502" s="1"/>
      <c r="J502" s="3"/>
      <c r="L502" s="1"/>
    </row>
    <row r="503" spans="1:12" x14ac:dyDescent="0.3">
      <c r="A503" s="3"/>
      <c r="C503" s="1"/>
      <c r="E503" s="1"/>
      <c r="J503" s="3"/>
      <c r="L503" s="1"/>
    </row>
    <row r="504" spans="1:12" x14ac:dyDescent="0.3">
      <c r="A504" s="3"/>
      <c r="C504" s="1"/>
      <c r="E504" s="1"/>
      <c r="J504" s="3"/>
      <c r="L504" s="1"/>
    </row>
    <row r="505" spans="1:12" x14ac:dyDescent="0.3">
      <c r="A505" s="3"/>
      <c r="C505" s="1"/>
      <c r="E505" s="1"/>
      <c r="J505" s="3"/>
      <c r="L505" s="1"/>
    </row>
    <row r="506" spans="1:12" x14ac:dyDescent="0.3">
      <c r="A506" s="3"/>
      <c r="C506" s="1"/>
      <c r="E506" s="1"/>
      <c r="J506" s="3"/>
      <c r="L506" s="1"/>
    </row>
    <row r="507" spans="1:12" x14ac:dyDescent="0.3">
      <c r="A507" s="3"/>
      <c r="C507" s="1"/>
      <c r="E507" s="1"/>
      <c r="J507" s="3"/>
      <c r="L507" s="1"/>
    </row>
    <row r="508" spans="1:12" x14ac:dyDescent="0.3">
      <c r="A508" s="3"/>
      <c r="C508" s="1"/>
      <c r="E508" s="1"/>
      <c r="J508" s="3"/>
      <c r="L508" s="1"/>
    </row>
    <row r="509" spans="1:12" x14ac:dyDescent="0.3">
      <c r="A509" s="3"/>
      <c r="C509" s="1"/>
      <c r="E509" s="1"/>
      <c r="J509" s="3"/>
      <c r="L509" s="1"/>
    </row>
    <row r="510" spans="1:12" x14ac:dyDescent="0.3">
      <c r="A510" s="3"/>
      <c r="C510" s="1"/>
      <c r="E510" s="1"/>
      <c r="J510" s="3"/>
      <c r="L510" s="1"/>
    </row>
    <row r="511" spans="1:12" x14ac:dyDescent="0.3">
      <c r="A511" s="3"/>
      <c r="C511" s="1"/>
      <c r="E511" s="1"/>
      <c r="J511" s="3"/>
      <c r="L511" s="1"/>
    </row>
    <row r="512" spans="1:12" x14ac:dyDescent="0.3">
      <c r="A512" s="3"/>
      <c r="C512" s="1"/>
      <c r="E512" s="1"/>
      <c r="J512" s="3"/>
      <c r="L512" s="1"/>
    </row>
    <row r="513" spans="1:12" x14ac:dyDescent="0.3">
      <c r="A513" s="3"/>
      <c r="C513" s="1"/>
      <c r="E513" s="1"/>
      <c r="J513" s="3"/>
      <c r="L513" s="1"/>
    </row>
    <row r="514" spans="1:12" x14ac:dyDescent="0.3">
      <c r="A514" s="3"/>
      <c r="C514" s="1"/>
      <c r="E514" s="1"/>
      <c r="J514" s="3"/>
      <c r="L514" s="1"/>
    </row>
    <row r="515" spans="1:12" x14ac:dyDescent="0.3">
      <c r="A515" s="3"/>
      <c r="C515" s="1"/>
      <c r="E515" s="1"/>
      <c r="J515" s="3"/>
      <c r="L515" s="1"/>
    </row>
    <row r="516" spans="1:12" x14ac:dyDescent="0.3">
      <c r="A516" s="3"/>
      <c r="C516" s="1"/>
      <c r="E516" s="1"/>
      <c r="J516" s="3"/>
      <c r="L516" s="1"/>
    </row>
    <row r="517" spans="1:12" x14ac:dyDescent="0.3">
      <c r="A517" s="3"/>
      <c r="C517" s="1"/>
      <c r="E517" s="1"/>
      <c r="J517" s="3"/>
      <c r="L517" s="1"/>
    </row>
    <row r="518" spans="1:12" x14ac:dyDescent="0.3">
      <c r="A518" s="3"/>
      <c r="C518" s="1"/>
      <c r="E518" s="1"/>
      <c r="J518" s="3"/>
      <c r="L518" s="1"/>
    </row>
    <row r="519" spans="1:12" x14ac:dyDescent="0.3">
      <c r="A519" s="3"/>
      <c r="C519" s="1"/>
      <c r="E519" s="1"/>
      <c r="J519" s="3"/>
      <c r="L519" s="1"/>
    </row>
    <row r="520" spans="1:12" x14ac:dyDescent="0.3">
      <c r="A520" s="3"/>
      <c r="C520" s="1"/>
      <c r="E520" s="1"/>
      <c r="J520" s="3"/>
      <c r="L520" s="1"/>
    </row>
    <row r="521" spans="1:12" x14ac:dyDescent="0.3">
      <c r="A521" s="3"/>
      <c r="C521" s="1"/>
      <c r="E521" s="1"/>
      <c r="J521" s="3"/>
      <c r="L521" s="1"/>
    </row>
    <row r="522" spans="1:12" x14ac:dyDescent="0.3">
      <c r="A522" s="3"/>
      <c r="C522" s="1"/>
      <c r="E522" s="1"/>
      <c r="J522" s="3"/>
      <c r="L522" s="1"/>
    </row>
    <row r="523" spans="1:12" x14ac:dyDescent="0.3">
      <c r="A523" s="3"/>
      <c r="C523" s="1"/>
      <c r="E523" s="1"/>
      <c r="J523" s="3"/>
      <c r="L523" s="1"/>
    </row>
    <row r="524" spans="1:12" x14ac:dyDescent="0.3">
      <c r="A524" s="3"/>
      <c r="C524" s="1"/>
      <c r="E524" s="1"/>
      <c r="J524" s="3"/>
      <c r="L524" s="1"/>
    </row>
    <row r="525" spans="1:12" x14ac:dyDescent="0.3">
      <c r="A525" s="3"/>
      <c r="C525" s="1"/>
      <c r="E525" s="1"/>
      <c r="J525" s="3"/>
      <c r="L525" s="1"/>
    </row>
    <row r="526" spans="1:12" x14ac:dyDescent="0.3">
      <c r="A526" s="3"/>
      <c r="C526" s="1"/>
      <c r="E526" s="1"/>
      <c r="J526" s="3"/>
      <c r="L526" s="1"/>
    </row>
    <row r="527" spans="1:12" x14ac:dyDescent="0.3">
      <c r="A527" s="3"/>
      <c r="C527" s="1"/>
      <c r="E527" s="1"/>
      <c r="J527" s="3"/>
      <c r="L527" s="1"/>
    </row>
    <row r="528" spans="1:12" x14ac:dyDescent="0.3">
      <c r="A528" s="3"/>
      <c r="C528" s="1"/>
      <c r="E528" s="1"/>
      <c r="J528" s="3"/>
      <c r="L528" s="1"/>
    </row>
    <row r="529" spans="1:12" x14ac:dyDescent="0.3">
      <c r="A529" s="3"/>
      <c r="C529" s="1"/>
      <c r="E529" s="1"/>
      <c r="J529" s="3"/>
      <c r="L529" s="1"/>
    </row>
    <row r="530" spans="1:12" x14ac:dyDescent="0.3">
      <c r="A530" s="3"/>
      <c r="C530" s="1"/>
      <c r="E530" s="1"/>
      <c r="J530" s="3"/>
      <c r="L530" s="1"/>
    </row>
    <row r="531" spans="1:12" x14ac:dyDescent="0.3">
      <c r="A531" s="3"/>
      <c r="C531" s="1"/>
      <c r="E531" s="1"/>
      <c r="J531" s="3"/>
      <c r="L531" s="1"/>
    </row>
    <row r="532" spans="1:12" x14ac:dyDescent="0.3">
      <c r="A532" s="3"/>
      <c r="C532" s="1"/>
      <c r="E532" s="1"/>
      <c r="J532" s="3"/>
      <c r="L532" s="1"/>
    </row>
    <row r="533" spans="1:12" x14ac:dyDescent="0.3">
      <c r="A533" s="3"/>
      <c r="C533" s="1"/>
      <c r="E533" s="1"/>
      <c r="J533" s="3"/>
      <c r="L533" s="1"/>
    </row>
    <row r="534" spans="1:12" x14ac:dyDescent="0.3">
      <c r="A534" s="3"/>
      <c r="C534" s="1"/>
      <c r="E534" s="1"/>
      <c r="J534" s="3"/>
      <c r="L534" s="1"/>
    </row>
    <row r="535" spans="1:12" x14ac:dyDescent="0.3">
      <c r="A535" s="3"/>
      <c r="C535" s="1"/>
      <c r="E535" s="1"/>
      <c r="J535" s="3"/>
      <c r="L535" s="1"/>
    </row>
    <row r="536" spans="1:12" x14ac:dyDescent="0.3">
      <c r="A536" s="3"/>
      <c r="C536" s="1"/>
      <c r="E536" s="1"/>
      <c r="J536" s="3"/>
      <c r="L536" s="1"/>
    </row>
    <row r="537" spans="1:12" x14ac:dyDescent="0.3">
      <c r="A537" s="3"/>
      <c r="C537" s="1"/>
      <c r="E537" s="1"/>
      <c r="J537" s="3"/>
      <c r="L537" s="1"/>
    </row>
    <row r="538" spans="1:12" x14ac:dyDescent="0.3">
      <c r="A538" s="3"/>
      <c r="C538" s="1"/>
      <c r="E538" s="1"/>
      <c r="J538" s="3"/>
      <c r="L538" s="1"/>
    </row>
    <row r="539" spans="1:12" x14ac:dyDescent="0.3">
      <c r="A539" s="3"/>
      <c r="C539" s="1"/>
      <c r="E539" s="1"/>
      <c r="J539" s="3"/>
      <c r="L539" s="1"/>
    </row>
    <row r="540" spans="1:12" x14ac:dyDescent="0.3">
      <c r="A540" s="3"/>
      <c r="C540" s="1"/>
      <c r="E540" s="1"/>
      <c r="J540" s="3"/>
      <c r="L540" s="1"/>
    </row>
    <row r="541" spans="1:12" x14ac:dyDescent="0.3">
      <c r="A541" s="3"/>
      <c r="C541" s="1"/>
      <c r="E541" s="1"/>
      <c r="J541" s="3"/>
      <c r="L541" s="1"/>
    </row>
    <row r="542" spans="1:12" x14ac:dyDescent="0.3">
      <c r="A542" s="3"/>
      <c r="C542" s="1"/>
      <c r="E542" s="1"/>
      <c r="J542" s="3"/>
      <c r="L542" s="1"/>
    </row>
    <row r="543" spans="1:12" x14ac:dyDescent="0.3">
      <c r="A543" s="3"/>
      <c r="C543" s="1"/>
      <c r="E543" s="1"/>
      <c r="J543" s="3"/>
      <c r="L543" s="1"/>
    </row>
    <row r="544" spans="1:12" x14ac:dyDescent="0.3">
      <c r="A544" s="3"/>
      <c r="C544" s="1"/>
      <c r="E544" s="1"/>
      <c r="J544" s="3"/>
      <c r="L544" s="1"/>
    </row>
    <row r="545" spans="1:12" x14ac:dyDescent="0.3">
      <c r="A545" s="3"/>
      <c r="C545" s="1"/>
      <c r="E545" s="1"/>
      <c r="J545" s="3"/>
      <c r="L545" s="1"/>
    </row>
    <row r="546" spans="1:12" x14ac:dyDescent="0.3">
      <c r="A546" s="3"/>
      <c r="C546" s="1"/>
      <c r="E546" s="1"/>
      <c r="J546" s="3"/>
      <c r="L546" s="1"/>
    </row>
    <row r="547" spans="1:12" x14ac:dyDescent="0.3">
      <c r="A547" s="3"/>
      <c r="C547" s="1"/>
      <c r="E547" s="1"/>
      <c r="J547" s="3"/>
      <c r="L547" s="1"/>
    </row>
    <row r="548" spans="1:12" x14ac:dyDescent="0.3">
      <c r="A548" s="3"/>
      <c r="C548" s="1"/>
      <c r="E548" s="1"/>
      <c r="J548" s="3"/>
      <c r="L548" s="1"/>
    </row>
    <row r="549" spans="1:12" x14ac:dyDescent="0.3">
      <c r="A549" s="3"/>
      <c r="C549" s="1"/>
      <c r="E549" s="1"/>
      <c r="J549" s="3"/>
      <c r="L549" s="1"/>
    </row>
    <row r="550" spans="1:12" x14ac:dyDescent="0.3">
      <c r="A550" s="3"/>
      <c r="C550" s="1"/>
      <c r="E550" s="1"/>
      <c r="J550" s="3"/>
      <c r="L550" s="1"/>
    </row>
    <row r="551" spans="1:12" x14ac:dyDescent="0.3">
      <c r="A551" s="3"/>
      <c r="C551" s="1"/>
      <c r="E551" s="1"/>
      <c r="J551" s="3"/>
      <c r="L551" s="1"/>
    </row>
    <row r="552" spans="1:12" x14ac:dyDescent="0.3">
      <c r="A552" s="3"/>
      <c r="C552" s="1"/>
      <c r="E552" s="1"/>
      <c r="J552" s="3"/>
      <c r="L552" s="1"/>
    </row>
    <row r="553" spans="1:12" x14ac:dyDescent="0.3">
      <c r="A553" s="3"/>
      <c r="C553" s="1"/>
      <c r="E553" s="1"/>
      <c r="J553" s="3"/>
      <c r="L553" s="1"/>
    </row>
    <row r="554" spans="1:12" x14ac:dyDescent="0.3">
      <c r="A554" s="3"/>
      <c r="C554" s="1"/>
      <c r="E554" s="1"/>
      <c r="J554" s="3"/>
      <c r="L554" s="1"/>
    </row>
    <row r="555" spans="1:12" x14ac:dyDescent="0.3">
      <c r="A555" s="3"/>
      <c r="C555" s="1"/>
      <c r="E555" s="1"/>
      <c r="J555" s="3"/>
      <c r="L555" s="1"/>
    </row>
    <row r="556" spans="1:12" x14ac:dyDescent="0.3">
      <c r="A556" s="3"/>
      <c r="C556" s="1"/>
      <c r="E556" s="1"/>
      <c r="J556" s="3"/>
      <c r="L556" s="1"/>
    </row>
    <row r="557" spans="1:12" x14ac:dyDescent="0.3">
      <c r="A557" s="3"/>
      <c r="C557" s="1"/>
      <c r="E557" s="1"/>
      <c r="J557" s="3"/>
      <c r="L557" s="1"/>
    </row>
    <row r="558" spans="1:12" x14ac:dyDescent="0.3">
      <c r="A558" s="3"/>
      <c r="C558" s="1"/>
      <c r="E558" s="1"/>
      <c r="J558" s="3"/>
      <c r="L558" s="1"/>
    </row>
    <row r="559" spans="1:12" x14ac:dyDescent="0.3">
      <c r="A559" s="3"/>
      <c r="C559" s="1"/>
      <c r="E559" s="1"/>
      <c r="J559" s="3"/>
      <c r="L559" s="1"/>
    </row>
    <row r="560" spans="1:12" x14ac:dyDescent="0.3">
      <c r="A560" s="3"/>
      <c r="C560" s="1"/>
      <c r="E560" s="1"/>
      <c r="J560" s="3"/>
      <c r="L560" s="1"/>
    </row>
    <row r="561" spans="1:12" x14ac:dyDescent="0.3">
      <c r="A561" s="3"/>
      <c r="C561" s="1"/>
      <c r="E561" s="1"/>
      <c r="J561" s="3"/>
      <c r="L561" s="1"/>
    </row>
    <row r="562" spans="1:12" x14ac:dyDescent="0.3">
      <c r="A562" s="3"/>
      <c r="C562" s="1"/>
      <c r="E562" s="1"/>
      <c r="J562" s="3"/>
      <c r="L562" s="1"/>
    </row>
    <row r="563" spans="1:12" x14ac:dyDescent="0.3">
      <c r="A563" s="3"/>
      <c r="C563" s="1"/>
      <c r="E563" s="1"/>
      <c r="J563" s="3"/>
      <c r="L563" s="1"/>
    </row>
    <row r="564" spans="1:12" x14ac:dyDescent="0.3">
      <c r="A564" s="3"/>
      <c r="C564" s="1"/>
      <c r="E564" s="1"/>
      <c r="J564" s="3"/>
      <c r="L564" s="1"/>
    </row>
    <row r="565" spans="1:12" x14ac:dyDescent="0.3">
      <c r="A565" s="3"/>
      <c r="C565" s="1"/>
      <c r="E565" s="1"/>
      <c r="J565" s="3"/>
      <c r="L565" s="1"/>
    </row>
    <row r="566" spans="1:12" x14ac:dyDescent="0.3">
      <c r="A566" s="3"/>
      <c r="C566" s="1"/>
      <c r="E566" s="1"/>
      <c r="J566" s="3"/>
      <c r="L566" s="1"/>
    </row>
    <row r="567" spans="1:12" x14ac:dyDescent="0.3">
      <c r="A567" s="3"/>
      <c r="C567" s="1"/>
      <c r="E567" s="1"/>
      <c r="J567" s="3"/>
      <c r="L567" s="1"/>
    </row>
    <row r="568" spans="1:12" x14ac:dyDescent="0.3">
      <c r="A568" s="3"/>
      <c r="C568" s="1"/>
      <c r="E568" s="1"/>
      <c r="J568" s="3"/>
      <c r="L568" s="1"/>
    </row>
    <row r="569" spans="1:12" x14ac:dyDescent="0.3">
      <c r="A569" s="3"/>
      <c r="C569" s="1"/>
      <c r="E569" s="1"/>
      <c r="J569" s="3"/>
      <c r="L569" s="1"/>
    </row>
    <row r="570" spans="1:12" x14ac:dyDescent="0.3">
      <c r="A570" s="3"/>
      <c r="C570" s="1"/>
      <c r="E570" s="1"/>
      <c r="J570" s="3"/>
      <c r="L570" s="1"/>
    </row>
    <row r="571" spans="1:12" x14ac:dyDescent="0.3">
      <c r="A571" s="3"/>
      <c r="C571" s="1"/>
      <c r="E571" s="1"/>
      <c r="J571" s="3"/>
      <c r="L571" s="1"/>
    </row>
    <row r="572" spans="1:12" x14ac:dyDescent="0.3">
      <c r="A572" s="3"/>
      <c r="C572" s="1"/>
      <c r="E572" s="1"/>
      <c r="J572" s="3"/>
      <c r="L572" s="1"/>
    </row>
    <row r="573" spans="1:12" x14ac:dyDescent="0.3">
      <c r="A573" s="3"/>
      <c r="C573" s="1"/>
      <c r="E573" s="1"/>
      <c r="J573" s="3"/>
      <c r="L573" s="1"/>
    </row>
    <row r="574" spans="1:12" x14ac:dyDescent="0.3">
      <c r="A574" s="3"/>
      <c r="C574" s="1"/>
      <c r="E574" s="1"/>
      <c r="J574" s="3"/>
      <c r="L574" s="1"/>
    </row>
    <row r="575" spans="1:12" x14ac:dyDescent="0.3">
      <c r="A575" s="3"/>
      <c r="C575" s="1"/>
      <c r="E575" s="1"/>
      <c r="J575" s="3"/>
      <c r="L575" s="1"/>
    </row>
    <row r="576" spans="1:12" x14ac:dyDescent="0.3">
      <c r="A576" s="3"/>
      <c r="C576" s="1"/>
      <c r="E576" s="1"/>
      <c r="J576" s="3"/>
      <c r="L576" s="1"/>
    </row>
    <row r="577" spans="1:12" x14ac:dyDescent="0.3">
      <c r="A577" s="3"/>
      <c r="C577" s="1"/>
      <c r="E577" s="1"/>
      <c r="J577" s="3"/>
      <c r="L577" s="1"/>
    </row>
    <row r="578" spans="1:12" x14ac:dyDescent="0.3">
      <c r="A578" s="3"/>
      <c r="C578" s="1"/>
      <c r="E578" s="1"/>
      <c r="J578" s="3"/>
      <c r="L578" s="1"/>
    </row>
    <row r="579" spans="1:12" x14ac:dyDescent="0.3">
      <c r="A579" s="3"/>
      <c r="C579" s="1"/>
      <c r="E579" s="1"/>
      <c r="J579" s="3"/>
      <c r="L579" s="1"/>
    </row>
    <row r="580" spans="1:12" x14ac:dyDescent="0.3">
      <c r="A580" s="3"/>
      <c r="C580" s="1"/>
      <c r="E580" s="1"/>
      <c r="J580" s="3"/>
      <c r="L580" s="1"/>
    </row>
    <row r="581" spans="1:12" x14ac:dyDescent="0.3">
      <c r="A581" s="3"/>
      <c r="C581" s="1"/>
      <c r="E581" s="1"/>
      <c r="J581" s="3"/>
      <c r="L581" s="1"/>
    </row>
    <row r="582" spans="1:12" x14ac:dyDescent="0.3">
      <c r="A582" s="3"/>
      <c r="C582" s="1"/>
      <c r="E582" s="1"/>
      <c r="J582" s="3"/>
      <c r="L582" s="1"/>
    </row>
    <row r="583" spans="1:12" x14ac:dyDescent="0.3">
      <c r="A583" s="3"/>
      <c r="C583" s="1"/>
      <c r="E583" s="1"/>
      <c r="J583" s="3"/>
      <c r="L583" s="1"/>
    </row>
    <row r="584" spans="1:12" x14ac:dyDescent="0.3">
      <c r="A584" s="3"/>
      <c r="C584" s="1"/>
      <c r="E584" s="1"/>
      <c r="J584" s="3"/>
      <c r="L584" s="1"/>
    </row>
    <row r="585" spans="1:12" x14ac:dyDescent="0.3">
      <c r="A585" s="3"/>
      <c r="C585" s="1"/>
      <c r="E585" s="1"/>
      <c r="J585" s="3"/>
      <c r="L585" s="1"/>
    </row>
    <row r="586" spans="1:12" x14ac:dyDescent="0.3">
      <c r="A586" s="3"/>
      <c r="C586" s="1"/>
      <c r="E586" s="1"/>
      <c r="J586" s="3"/>
      <c r="L586" s="1"/>
    </row>
    <row r="587" spans="1:12" x14ac:dyDescent="0.3">
      <c r="A587" s="3"/>
      <c r="C587" s="1"/>
      <c r="E587" s="1"/>
      <c r="J587" s="3"/>
      <c r="L587" s="1"/>
    </row>
    <row r="588" spans="1:12" x14ac:dyDescent="0.3">
      <c r="A588" s="3"/>
      <c r="C588" s="1"/>
      <c r="E588" s="1"/>
      <c r="J588" s="3"/>
      <c r="L588" s="1"/>
    </row>
    <row r="589" spans="1:12" x14ac:dyDescent="0.3">
      <c r="A589" s="3"/>
      <c r="C589" s="1"/>
      <c r="E589" s="1"/>
      <c r="J589" s="3"/>
      <c r="L589" s="1"/>
    </row>
    <row r="590" spans="1:12" x14ac:dyDescent="0.3">
      <c r="A590" s="3"/>
      <c r="C590" s="1"/>
      <c r="E590" s="1"/>
      <c r="J590" s="3"/>
      <c r="L590" s="1"/>
    </row>
    <row r="591" spans="1:12" x14ac:dyDescent="0.3">
      <c r="A591" s="3"/>
      <c r="C591" s="1"/>
      <c r="E591" s="1"/>
      <c r="J591" s="3"/>
      <c r="L591" s="1"/>
    </row>
    <row r="592" spans="1:12" x14ac:dyDescent="0.3">
      <c r="A592" s="3"/>
      <c r="C592" s="1"/>
      <c r="E592" s="1"/>
      <c r="J592" s="3"/>
      <c r="L592" s="1"/>
    </row>
    <row r="593" spans="1:12" x14ac:dyDescent="0.3">
      <c r="A593" s="3"/>
      <c r="C593" s="1"/>
      <c r="E593" s="1"/>
      <c r="J593" s="3"/>
      <c r="L593" s="1"/>
    </row>
    <row r="594" spans="1:12" x14ac:dyDescent="0.3">
      <c r="A594" s="3"/>
      <c r="C594" s="1"/>
      <c r="E594" s="1"/>
      <c r="J594" s="3"/>
      <c r="L594" s="1"/>
    </row>
    <row r="595" spans="1:12" x14ac:dyDescent="0.3">
      <c r="A595" s="3"/>
      <c r="C595" s="1"/>
      <c r="E595" s="1"/>
      <c r="J595" s="3"/>
      <c r="L595" s="1"/>
    </row>
    <row r="596" spans="1:12" x14ac:dyDescent="0.3">
      <c r="A596" s="3"/>
      <c r="C596" s="1"/>
      <c r="E596" s="1"/>
      <c r="J596" s="3"/>
      <c r="L596" s="1"/>
    </row>
    <row r="597" spans="1:12" x14ac:dyDescent="0.3">
      <c r="A597" s="3"/>
      <c r="C597" s="1"/>
      <c r="E597" s="1"/>
      <c r="J597" s="3"/>
      <c r="L597" s="1"/>
    </row>
    <row r="598" spans="1:12" x14ac:dyDescent="0.3">
      <c r="A598" s="3"/>
      <c r="C598" s="1"/>
      <c r="E598" s="1"/>
      <c r="J598" s="3"/>
      <c r="L598" s="1"/>
    </row>
    <row r="599" spans="1:12" x14ac:dyDescent="0.3">
      <c r="A599" s="3"/>
      <c r="C599" s="1"/>
      <c r="E599" s="1"/>
      <c r="J599" s="3"/>
      <c r="L599" s="1"/>
    </row>
    <row r="600" spans="1:12" x14ac:dyDescent="0.3">
      <c r="A600" s="3"/>
      <c r="C600" s="1"/>
      <c r="E600" s="1"/>
      <c r="J600" s="3"/>
      <c r="L600" s="1"/>
    </row>
    <row r="601" spans="1:12" x14ac:dyDescent="0.3">
      <c r="A601" s="3"/>
      <c r="C601" s="1"/>
      <c r="E601" s="1"/>
      <c r="J601" s="3"/>
      <c r="L601" s="1"/>
    </row>
    <row r="602" spans="1:12" x14ac:dyDescent="0.3">
      <c r="A602" s="3"/>
      <c r="C602" s="1"/>
      <c r="E602" s="1"/>
      <c r="J602" s="3"/>
      <c r="L602" s="1"/>
    </row>
    <row r="603" spans="1:12" x14ac:dyDescent="0.3">
      <c r="A603" s="3"/>
      <c r="C603" s="1"/>
      <c r="E603" s="1"/>
      <c r="J603" s="3"/>
      <c r="L603" s="1"/>
    </row>
    <row r="604" spans="1:12" x14ac:dyDescent="0.3">
      <c r="A604" s="3"/>
      <c r="C604" s="1"/>
      <c r="E604" s="1"/>
      <c r="J604" s="3"/>
      <c r="L604" s="1"/>
    </row>
    <row r="605" spans="1:12" x14ac:dyDescent="0.3">
      <c r="A605" s="3"/>
      <c r="C605" s="1"/>
      <c r="E605" s="1"/>
      <c r="J605" s="3"/>
      <c r="L605" s="1"/>
    </row>
    <row r="606" spans="1:12" x14ac:dyDescent="0.3">
      <c r="A606" s="3"/>
      <c r="C606" s="1"/>
      <c r="E606" s="1"/>
      <c r="J606" s="3"/>
      <c r="L606" s="1"/>
    </row>
    <row r="607" spans="1:12" x14ac:dyDescent="0.3">
      <c r="A607" s="3"/>
      <c r="C607" s="1"/>
      <c r="E607" s="1"/>
      <c r="J607" s="3"/>
      <c r="L607" s="1"/>
    </row>
    <row r="608" spans="1:12" x14ac:dyDescent="0.3">
      <c r="A608" s="3"/>
      <c r="C608" s="1"/>
      <c r="E608" s="1"/>
      <c r="J608" s="3"/>
      <c r="L608" s="1"/>
    </row>
    <row r="609" spans="1:12" x14ac:dyDescent="0.3">
      <c r="A609" s="3"/>
      <c r="C609" s="1"/>
      <c r="E609" s="1"/>
      <c r="J609" s="3"/>
      <c r="L609" s="1"/>
    </row>
    <row r="610" spans="1:12" x14ac:dyDescent="0.3">
      <c r="A610" s="3"/>
      <c r="C610" s="1"/>
      <c r="E610" s="1"/>
      <c r="J610" s="3"/>
      <c r="L610" s="1"/>
    </row>
    <row r="611" spans="1:12" x14ac:dyDescent="0.3">
      <c r="A611" s="3"/>
      <c r="C611" s="1"/>
      <c r="E611" s="1"/>
      <c r="J611" s="3"/>
      <c r="L611" s="1"/>
    </row>
    <row r="612" spans="1:12" x14ac:dyDescent="0.3">
      <c r="A612" s="3"/>
      <c r="C612" s="1"/>
      <c r="E612" s="1"/>
      <c r="J612" s="3"/>
      <c r="L612" s="1"/>
    </row>
    <row r="613" spans="1:12" x14ac:dyDescent="0.3">
      <c r="A613" s="3"/>
      <c r="C613" s="1"/>
      <c r="E613" s="1"/>
      <c r="J613" s="3"/>
      <c r="L613" s="1"/>
    </row>
    <row r="614" spans="1:12" x14ac:dyDescent="0.3">
      <c r="A614" s="3"/>
      <c r="C614" s="1"/>
      <c r="E614" s="1"/>
      <c r="J614" s="3"/>
      <c r="L614" s="1"/>
    </row>
    <row r="615" spans="1:12" x14ac:dyDescent="0.3">
      <c r="A615" s="3"/>
      <c r="C615" s="1"/>
      <c r="E615" s="1"/>
      <c r="J615" s="3"/>
      <c r="L615" s="1"/>
    </row>
    <row r="616" spans="1:12" x14ac:dyDescent="0.3">
      <c r="A616" s="3"/>
      <c r="C616" s="1"/>
      <c r="E616" s="1"/>
      <c r="J616" s="3"/>
      <c r="L616" s="1"/>
    </row>
    <row r="617" spans="1:12" x14ac:dyDescent="0.3">
      <c r="A617" s="3"/>
      <c r="C617" s="1"/>
      <c r="E617" s="1"/>
      <c r="J617" s="3"/>
      <c r="L617" s="1"/>
    </row>
    <row r="618" spans="1:12" x14ac:dyDescent="0.3">
      <c r="A618" s="3"/>
      <c r="C618" s="1"/>
      <c r="E618" s="1"/>
      <c r="J618" s="3"/>
      <c r="L618" s="1"/>
    </row>
    <row r="619" spans="1:12" x14ac:dyDescent="0.3">
      <c r="A619" s="3"/>
      <c r="C619" s="1"/>
      <c r="E619" s="1"/>
      <c r="J619" s="3"/>
      <c r="L619" s="1"/>
    </row>
    <row r="620" spans="1:12" x14ac:dyDescent="0.3">
      <c r="A620" s="3"/>
      <c r="C620" s="1"/>
      <c r="E620" s="1"/>
      <c r="J620" s="3"/>
      <c r="L620" s="1"/>
    </row>
    <row r="621" spans="1:12" x14ac:dyDescent="0.3">
      <c r="A621" s="3"/>
      <c r="C621" s="1"/>
      <c r="E621" s="1"/>
      <c r="J621" s="3"/>
      <c r="L621" s="1"/>
    </row>
    <row r="622" spans="1:12" x14ac:dyDescent="0.3">
      <c r="A622" s="3"/>
      <c r="C622" s="1"/>
      <c r="E622" s="1"/>
      <c r="J622" s="3"/>
      <c r="L622" s="1"/>
    </row>
    <row r="623" spans="1:12" x14ac:dyDescent="0.3">
      <c r="A623" s="3"/>
      <c r="C623" s="1"/>
      <c r="E623" s="1"/>
      <c r="J623" s="3"/>
      <c r="L623" s="1"/>
    </row>
    <row r="624" spans="1:12" x14ac:dyDescent="0.3">
      <c r="A624" s="3"/>
      <c r="C624" s="1"/>
      <c r="E624" s="1"/>
      <c r="J624" s="3"/>
      <c r="L624" s="1"/>
    </row>
    <row r="625" spans="1:12" x14ac:dyDescent="0.3">
      <c r="A625" s="3"/>
      <c r="C625" s="1"/>
      <c r="E625" s="1"/>
      <c r="J625" s="3"/>
      <c r="L625" s="1"/>
    </row>
    <row r="626" spans="1:12" x14ac:dyDescent="0.3">
      <c r="A626" s="3"/>
      <c r="C626" s="1"/>
      <c r="E626" s="1"/>
      <c r="J626" s="3"/>
      <c r="L626" s="1"/>
    </row>
    <row r="627" spans="1:12" x14ac:dyDescent="0.3">
      <c r="A627" s="3"/>
      <c r="C627" s="1"/>
      <c r="E627" s="1"/>
      <c r="J627" s="3"/>
      <c r="L627" s="1"/>
    </row>
    <row r="628" spans="1:12" x14ac:dyDescent="0.3">
      <c r="A628" s="3"/>
      <c r="C628" s="1"/>
      <c r="E628" s="1"/>
      <c r="J628" s="3"/>
      <c r="L628" s="1"/>
    </row>
    <row r="629" spans="1:12" x14ac:dyDescent="0.3">
      <c r="A629" s="3"/>
      <c r="C629" s="1"/>
      <c r="E629" s="1"/>
      <c r="J629" s="3"/>
      <c r="L629" s="1"/>
    </row>
    <row r="630" spans="1:12" x14ac:dyDescent="0.3">
      <c r="A630" s="3"/>
      <c r="C630" s="1"/>
      <c r="E630" s="1"/>
      <c r="J630" s="3"/>
      <c r="L630" s="1"/>
    </row>
    <row r="631" spans="1:12" x14ac:dyDescent="0.3">
      <c r="A631" s="3"/>
      <c r="C631" s="1"/>
      <c r="E631" s="1"/>
      <c r="J631" s="3"/>
      <c r="L631" s="1"/>
    </row>
    <row r="632" spans="1:12" x14ac:dyDescent="0.3">
      <c r="A632" s="3"/>
      <c r="C632" s="1"/>
      <c r="E632" s="1"/>
      <c r="J632" s="3"/>
      <c r="L632" s="1"/>
    </row>
    <row r="633" spans="1:12" x14ac:dyDescent="0.3">
      <c r="A633" s="3"/>
      <c r="C633" s="1"/>
      <c r="E633" s="1"/>
      <c r="J633" s="3"/>
      <c r="L633" s="1"/>
    </row>
    <row r="634" spans="1:12" x14ac:dyDescent="0.3">
      <c r="A634" s="3"/>
      <c r="C634" s="1"/>
      <c r="E634" s="1"/>
      <c r="J634" s="3"/>
      <c r="L634" s="1"/>
    </row>
    <row r="635" spans="1:12" x14ac:dyDescent="0.3">
      <c r="A635" s="3"/>
      <c r="C635" s="1"/>
      <c r="E635" s="1"/>
      <c r="J635" s="3"/>
      <c r="L635" s="1"/>
    </row>
    <row r="636" spans="1:12" x14ac:dyDescent="0.3">
      <c r="A636" s="3"/>
      <c r="C636" s="1"/>
      <c r="E636" s="1"/>
      <c r="J636" s="3"/>
      <c r="L636" s="1"/>
    </row>
    <row r="637" spans="1:12" x14ac:dyDescent="0.3">
      <c r="A637" s="3"/>
      <c r="C637" s="1"/>
      <c r="E637" s="1"/>
      <c r="J637" s="3"/>
      <c r="L637" s="1"/>
    </row>
    <row r="638" spans="1:12" x14ac:dyDescent="0.3">
      <c r="A638" s="3"/>
      <c r="C638" s="1"/>
      <c r="E638" s="1"/>
      <c r="J638" s="3"/>
      <c r="L638" s="1"/>
    </row>
    <row r="639" spans="1:12" x14ac:dyDescent="0.3">
      <c r="A639" s="3"/>
      <c r="C639" s="1"/>
      <c r="E639" s="1"/>
      <c r="J639" s="3"/>
      <c r="L639" s="1"/>
    </row>
    <row r="640" spans="1:12" x14ac:dyDescent="0.3">
      <c r="A640" s="3"/>
      <c r="C640" s="1"/>
      <c r="E640" s="1"/>
      <c r="J640" s="3"/>
      <c r="L640" s="1"/>
    </row>
    <row r="641" spans="1:12" x14ac:dyDescent="0.3">
      <c r="A641" s="3"/>
      <c r="C641" s="1"/>
      <c r="E641" s="1"/>
      <c r="J641" s="3"/>
      <c r="L641" s="1"/>
    </row>
    <row r="642" spans="1:12" x14ac:dyDescent="0.3">
      <c r="A642" s="3"/>
      <c r="C642" s="1"/>
      <c r="E642" s="1"/>
      <c r="J642" s="3"/>
      <c r="L642" s="1"/>
    </row>
    <row r="643" spans="1:12" x14ac:dyDescent="0.3">
      <c r="A643" s="3"/>
      <c r="C643" s="1"/>
      <c r="E643" s="1"/>
      <c r="J643" s="3"/>
      <c r="L643" s="1"/>
    </row>
    <row r="644" spans="1:12" x14ac:dyDescent="0.3">
      <c r="A644" s="3"/>
      <c r="C644" s="1"/>
      <c r="E644" s="1"/>
      <c r="J644" s="3"/>
      <c r="L644" s="1"/>
    </row>
    <row r="645" spans="1:12" x14ac:dyDescent="0.3">
      <c r="A645" s="3"/>
      <c r="C645" s="1"/>
      <c r="E645" s="1"/>
      <c r="J645" s="3"/>
      <c r="L645" s="1"/>
    </row>
    <row r="646" spans="1:12" x14ac:dyDescent="0.3">
      <c r="A646" s="3"/>
      <c r="C646" s="1"/>
      <c r="E646" s="1"/>
      <c r="J646" s="3"/>
      <c r="L646" s="1"/>
    </row>
    <row r="647" spans="1:12" x14ac:dyDescent="0.3">
      <c r="A647" s="3"/>
      <c r="C647" s="1"/>
      <c r="E647" s="1"/>
      <c r="J647" s="3"/>
      <c r="L647" s="1"/>
    </row>
    <row r="648" spans="1:12" x14ac:dyDescent="0.3">
      <c r="A648" s="3"/>
      <c r="C648" s="1"/>
      <c r="E648" s="1"/>
      <c r="J648" s="3"/>
      <c r="L648" s="1"/>
    </row>
    <row r="649" spans="1:12" x14ac:dyDescent="0.3">
      <c r="A649" s="3"/>
      <c r="C649" s="1"/>
      <c r="E649" s="1"/>
      <c r="J649" s="3"/>
      <c r="L649" s="1"/>
    </row>
    <row r="650" spans="1:12" x14ac:dyDescent="0.3">
      <c r="A650" s="3"/>
      <c r="C650" s="1"/>
      <c r="E650" s="1"/>
      <c r="J650" s="3"/>
      <c r="L650" s="1"/>
    </row>
    <row r="651" spans="1:12" x14ac:dyDescent="0.3">
      <c r="A651" s="3"/>
      <c r="C651" s="1"/>
      <c r="E651" s="1"/>
      <c r="J651" s="3"/>
      <c r="L651" s="1"/>
    </row>
    <row r="652" spans="1:12" x14ac:dyDescent="0.3">
      <c r="A652" s="3"/>
      <c r="C652" s="1"/>
      <c r="E652" s="1"/>
      <c r="J652" s="3"/>
      <c r="L652" s="1"/>
    </row>
    <row r="653" spans="1:12" x14ac:dyDescent="0.3">
      <c r="A653" s="3"/>
      <c r="C653" s="1"/>
      <c r="E653" s="1"/>
      <c r="J653" s="3"/>
      <c r="L653" s="1"/>
    </row>
    <row r="654" spans="1:12" x14ac:dyDescent="0.3">
      <c r="A654" s="3"/>
      <c r="C654" s="1"/>
      <c r="E654" s="1"/>
      <c r="J654" s="3"/>
      <c r="L654" s="1"/>
    </row>
    <row r="655" spans="1:12" x14ac:dyDescent="0.3">
      <c r="A655" s="3"/>
      <c r="C655" s="1"/>
      <c r="E655" s="1"/>
      <c r="J655" s="3"/>
      <c r="L655" s="1"/>
    </row>
    <row r="656" spans="1:12" x14ac:dyDescent="0.3">
      <c r="A656" s="3"/>
      <c r="C656" s="1"/>
      <c r="E656" s="1"/>
      <c r="J656" s="3"/>
      <c r="L656" s="1"/>
    </row>
    <row r="657" spans="1:12" x14ac:dyDescent="0.3">
      <c r="A657" s="3"/>
      <c r="C657" s="1"/>
      <c r="E657" s="1"/>
      <c r="J657" s="3"/>
      <c r="L657" s="1"/>
    </row>
    <row r="658" spans="1:12" x14ac:dyDescent="0.3">
      <c r="A658" s="3"/>
      <c r="C658" s="1"/>
      <c r="E658" s="1"/>
      <c r="J658" s="3"/>
      <c r="L658" s="1"/>
    </row>
    <row r="659" spans="1:12" x14ac:dyDescent="0.3">
      <c r="A659" s="3"/>
      <c r="C659" s="1"/>
      <c r="E659" s="1"/>
      <c r="J659" s="3"/>
      <c r="L659" s="1"/>
    </row>
    <row r="660" spans="1:12" x14ac:dyDescent="0.3">
      <c r="A660" s="3"/>
      <c r="C660" s="1"/>
      <c r="E660" s="1"/>
      <c r="J660" s="3"/>
      <c r="L660" s="1"/>
    </row>
    <row r="661" spans="1:12" x14ac:dyDescent="0.3">
      <c r="A661" s="3"/>
      <c r="C661" s="1"/>
      <c r="E661" s="1"/>
      <c r="J661" s="3"/>
      <c r="L661" s="1"/>
    </row>
    <row r="662" spans="1:12" x14ac:dyDescent="0.3">
      <c r="A662" s="3"/>
      <c r="C662" s="1"/>
      <c r="E662" s="1"/>
      <c r="J662" s="3"/>
      <c r="L662" s="1"/>
    </row>
    <row r="663" spans="1:12" x14ac:dyDescent="0.3">
      <c r="A663" s="3"/>
      <c r="C663" s="1"/>
      <c r="E663" s="1"/>
      <c r="J663" s="3"/>
      <c r="L663" s="1"/>
    </row>
    <row r="664" spans="1:12" x14ac:dyDescent="0.3">
      <c r="A664" s="3"/>
      <c r="C664" s="1"/>
      <c r="E664" s="1"/>
      <c r="J664" s="3"/>
      <c r="L664" s="1"/>
    </row>
    <row r="665" spans="1:12" x14ac:dyDescent="0.3">
      <c r="A665" s="3"/>
      <c r="C665" s="1"/>
      <c r="E665" s="1"/>
      <c r="J665" s="3"/>
      <c r="L665" s="1"/>
    </row>
    <row r="666" spans="1:12" x14ac:dyDescent="0.3">
      <c r="A666" s="3"/>
      <c r="C666" s="1"/>
      <c r="E666" s="1"/>
      <c r="J666" s="3"/>
      <c r="L666" s="1"/>
    </row>
    <row r="667" spans="1:12" x14ac:dyDescent="0.3">
      <c r="A667" s="3"/>
      <c r="C667" s="1"/>
      <c r="E667" s="1"/>
      <c r="J667" s="3"/>
      <c r="L667" s="1"/>
    </row>
    <row r="668" spans="1:12" x14ac:dyDescent="0.3">
      <c r="A668" s="3"/>
      <c r="C668" s="1"/>
      <c r="E668" s="1"/>
      <c r="J668" s="3"/>
      <c r="L668" s="1"/>
    </row>
    <row r="669" spans="1:12" x14ac:dyDescent="0.3">
      <c r="A669" s="3"/>
      <c r="C669" s="1"/>
      <c r="E669" s="1"/>
      <c r="J669" s="3"/>
      <c r="L669" s="1"/>
    </row>
    <row r="670" spans="1:12" x14ac:dyDescent="0.3">
      <c r="A670" s="3"/>
      <c r="C670" s="1"/>
      <c r="E670" s="1"/>
      <c r="J670" s="3"/>
      <c r="L670" s="1"/>
    </row>
    <row r="671" spans="1:12" x14ac:dyDescent="0.3">
      <c r="A671" s="3"/>
      <c r="C671" s="1"/>
      <c r="E671" s="1"/>
      <c r="J671" s="3"/>
      <c r="L671" s="1"/>
    </row>
    <row r="672" spans="1:12" x14ac:dyDescent="0.3">
      <c r="A672" s="3"/>
      <c r="C672" s="1"/>
      <c r="E672" s="1"/>
      <c r="J672" s="3"/>
      <c r="L672" s="1"/>
    </row>
    <row r="673" spans="1:12" x14ac:dyDescent="0.3">
      <c r="A673" s="3"/>
      <c r="C673" s="1"/>
      <c r="E673" s="1"/>
      <c r="J673" s="3"/>
      <c r="L673" s="1"/>
    </row>
    <row r="674" spans="1:12" x14ac:dyDescent="0.3">
      <c r="A674" s="3"/>
      <c r="C674" s="1"/>
      <c r="E674" s="1"/>
      <c r="J674" s="3"/>
      <c r="L674" s="1"/>
    </row>
    <row r="675" spans="1:12" x14ac:dyDescent="0.3">
      <c r="A675" s="3"/>
      <c r="C675" s="1"/>
      <c r="E675" s="1"/>
      <c r="J675" s="3"/>
      <c r="L675" s="1"/>
    </row>
    <row r="676" spans="1:12" x14ac:dyDescent="0.3">
      <c r="A676" s="3"/>
      <c r="C676" s="1"/>
      <c r="E676" s="1"/>
      <c r="J676" s="3"/>
      <c r="L676" s="1"/>
    </row>
    <row r="677" spans="1:12" x14ac:dyDescent="0.3">
      <c r="A677" s="3"/>
      <c r="C677" s="1"/>
      <c r="E677" s="1"/>
      <c r="J677" s="3"/>
      <c r="L677" s="1"/>
    </row>
    <row r="678" spans="1:12" x14ac:dyDescent="0.3">
      <c r="A678" s="3"/>
      <c r="C678" s="1"/>
      <c r="E678" s="1"/>
      <c r="J678" s="3"/>
      <c r="L678" s="1"/>
    </row>
    <row r="679" spans="1:12" x14ac:dyDescent="0.3">
      <c r="A679" s="3"/>
      <c r="C679" s="1"/>
      <c r="E679" s="1"/>
      <c r="J679" s="3"/>
      <c r="L679" s="1"/>
    </row>
    <row r="680" spans="1:12" x14ac:dyDescent="0.3">
      <c r="A680" s="3"/>
      <c r="C680" s="1"/>
      <c r="E680" s="1"/>
      <c r="J680" s="3"/>
      <c r="L680" s="1"/>
    </row>
    <row r="681" spans="1:12" x14ac:dyDescent="0.3">
      <c r="A681" s="3"/>
      <c r="C681" s="1"/>
      <c r="E681" s="1"/>
      <c r="J681" s="3"/>
      <c r="L681" s="1"/>
    </row>
    <row r="682" spans="1:12" x14ac:dyDescent="0.3">
      <c r="A682" s="3"/>
      <c r="C682" s="1"/>
      <c r="E682" s="1"/>
      <c r="J682" s="3"/>
      <c r="L682" s="1"/>
    </row>
    <row r="683" spans="1:12" x14ac:dyDescent="0.3">
      <c r="A683" s="3"/>
      <c r="C683" s="1"/>
      <c r="E683" s="1"/>
      <c r="J683" s="3"/>
      <c r="L683" s="1"/>
    </row>
    <row r="684" spans="1:12" x14ac:dyDescent="0.3">
      <c r="A684" s="3"/>
      <c r="C684" s="1"/>
      <c r="E684" s="1"/>
      <c r="J684" s="3"/>
      <c r="L684" s="1"/>
    </row>
    <row r="685" spans="1:12" x14ac:dyDescent="0.3">
      <c r="A685" s="3"/>
      <c r="C685" s="1"/>
      <c r="E685" s="1"/>
      <c r="J685" s="3"/>
      <c r="L685" s="1"/>
    </row>
    <row r="686" spans="1:12" x14ac:dyDescent="0.3">
      <c r="A686" s="3"/>
      <c r="C686" s="1"/>
      <c r="E686" s="1"/>
      <c r="J686" s="3"/>
      <c r="L686" s="1"/>
    </row>
    <row r="687" spans="1:12" x14ac:dyDescent="0.3">
      <c r="A687" s="3"/>
      <c r="C687" s="1"/>
      <c r="E687" s="1"/>
      <c r="J687" s="3"/>
      <c r="L687" s="1"/>
    </row>
    <row r="688" spans="1:12" x14ac:dyDescent="0.3">
      <c r="A688" s="3"/>
      <c r="C688" s="1"/>
      <c r="E688" s="1"/>
      <c r="J688" s="3"/>
      <c r="L688" s="1"/>
    </row>
    <row r="689" spans="1:12" x14ac:dyDescent="0.3">
      <c r="A689" s="3"/>
      <c r="C689" s="1"/>
      <c r="E689" s="1"/>
      <c r="J689" s="3"/>
      <c r="L689" s="1"/>
    </row>
    <row r="690" spans="1:12" x14ac:dyDescent="0.3">
      <c r="A690" s="3"/>
      <c r="C690" s="1"/>
      <c r="E690" s="1"/>
      <c r="J690" s="3"/>
      <c r="L690" s="1"/>
    </row>
    <row r="691" spans="1:12" x14ac:dyDescent="0.3">
      <c r="A691" s="3"/>
      <c r="C691" s="1"/>
      <c r="E691" s="1"/>
      <c r="J691" s="3"/>
      <c r="L691" s="1"/>
    </row>
    <row r="692" spans="1:12" x14ac:dyDescent="0.3">
      <c r="A692" s="3"/>
      <c r="C692" s="1"/>
      <c r="E692" s="1"/>
      <c r="J692" s="3"/>
      <c r="L692" s="1"/>
    </row>
    <row r="693" spans="1:12" x14ac:dyDescent="0.3">
      <c r="A693" s="3"/>
      <c r="C693" s="1"/>
      <c r="E693" s="1"/>
      <c r="J693" s="3"/>
      <c r="L693" s="1"/>
    </row>
    <row r="694" spans="1:12" x14ac:dyDescent="0.3">
      <c r="A694" s="3"/>
      <c r="C694" s="1"/>
      <c r="E694" s="1"/>
      <c r="J694" s="3"/>
      <c r="L694" s="1"/>
    </row>
    <row r="695" spans="1:12" x14ac:dyDescent="0.3">
      <c r="A695" s="3"/>
      <c r="C695" s="1"/>
      <c r="E695" s="1"/>
      <c r="J695" s="3"/>
      <c r="L695" s="1"/>
    </row>
    <row r="696" spans="1:12" x14ac:dyDescent="0.3">
      <c r="A696" s="3"/>
      <c r="C696" s="1"/>
      <c r="E696" s="1"/>
      <c r="J696" s="3"/>
      <c r="L696" s="1"/>
    </row>
    <row r="697" spans="1:12" x14ac:dyDescent="0.3">
      <c r="A697" s="3"/>
      <c r="C697" s="1"/>
      <c r="E697" s="1"/>
      <c r="J697" s="3"/>
      <c r="L697" s="1"/>
    </row>
    <row r="698" spans="1:12" x14ac:dyDescent="0.3">
      <c r="A698" s="3"/>
      <c r="C698" s="1"/>
      <c r="E698" s="1"/>
      <c r="J698" s="3"/>
      <c r="L698" s="1"/>
    </row>
    <row r="699" spans="1:12" x14ac:dyDescent="0.3">
      <c r="A699" s="3"/>
      <c r="C699" s="1"/>
      <c r="E699" s="1"/>
      <c r="J699" s="3"/>
      <c r="L699" s="1"/>
    </row>
    <row r="700" spans="1:12" x14ac:dyDescent="0.3">
      <c r="A700" s="3"/>
      <c r="C700" s="1"/>
      <c r="E700" s="1"/>
      <c r="J700" s="3"/>
      <c r="L700" s="1"/>
    </row>
    <row r="701" spans="1:12" x14ac:dyDescent="0.3">
      <c r="A701" s="3"/>
      <c r="C701" s="1"/>
      <c r="E701" s="1"/>
      <c r="J701" s="3"/>
      <c r="L701" s="1"/>
    </row>
    <row r="702" spans="1:12" x14ac:dyDescent="0.3">
      <c r="A702" s="3"/>
      <c r="C702" s="1"/>
      <c r="E702" s="1"/>
      <c r="J702" s="3"/>
      <c r="L702" s="1"/>
    </row>
    <row r="703" spans="1:12" x14ac:dyDescent="0.3">
      <c r="A703" s="3"/>
      <c r="C703" s="1"/>
      <c r="E703" s="1"/>
      <c r="J703" s="3"/>
      <c r="L703" s="1"/>
    </row>
    <row r="704" spans="1:12" x14ac:dyDescent="0.3">
      <c r="A704" s="3"/>
      <c r="C704" s="1"/>
      <c r="E704" s="1"/>
      <c r="J704" s="3"/>
      <c r="L704" s="1"/>
    </row>
    <row r="705" spans="1:12" x14ac:dyDescent="0.3">
      <c r="A705" s="3"/>
      <c r="C705" s="1"/>
      <c r="E705" s="1"/>
      <c r="J705" s="3"/>
      <c r="L705" s="1"/>
    </row>
    <row r="706" spans="1:12" x14ac:dyDescent="0.3">
      <c r="A706" s="3"/>
      <c r="C706" s="1"/>
      <c r="E706" s="1"/>
      <c r="J706" s="3"/>
      <c r="L706" s="1"/>
    </row>
    <row r="707" spans="1:12" x14ac:dyDescent="0.3">
      <c r="A707" s="3"/>
      <c r="C707" s="1"/>
      <c r="E707" s="1"/>
      <c r="J707" s="3"/>
      <c r="L707" s="1"/>
    </row>
    <row r="708" spans="1:12" x14ac:dyDescent="0.3">
      <c r="A708" s="3"/>
      <c r="C708" s="1"/>
      <c r="E708" s="1"/>
      <c r="J708" s="3"/>
      <c r="L708" s="1"/>
    </row>
    <row r="709" spans="1:12" x14ac:dyDescent="0.3">
      <c r="A709" s="3"/>
      <c r="C709" s="1"/>
      <c r="E709" s="1"/>
      <c r="J709" s="3"/>
      <c r="L709" s="1"/>
    </row>
    <row r="710" spans="1:12" x14ac:dyDescent="0.3">
      <c r="A710" s="3"/>
      <c r="C710" s="1"/>
      <c r="E710" s="1"/>
      <c r="J710" s="3"/>
      <c r="L710" s="1"/>
    </row>
    <row r="711" spans="1:12" x14ac:dyDescent="0.3">
      <c r="A711" s="3"/>
      <c r="C711" s="1"/>
      <c r="E711" s="1"/>
      <c r="J711" s="3"/>
      <c r="L711" s="1"/>
    </row>
    <row r="712" spans="1:12" x14ac:dyDescent="0.3">
      <c r="A712" s="3"/>
      <c r="C712" s="1"/>
      <c r="E712" s="1"/>
      <c r="J712" s="3"/>
      <c r="L712" s="1"/>
    </row>
    <row r="713" spans="1:12" x14ac:dyDescent="0.3">
      <c r="A713" s="3"/>
      <c r="C713" s="1"/>
      <c r="E713" s="1"/>
      <c r="J713" s="3"/>
      <c r="L713" s="1"/>
    </row>
    <row r="714" spans="1:12" x14ac:dyDescent="0.3">
      <c r="A714" s="3"/>
      <c r="C714" s="1"/>
      <c r="E714" s="1"/>
      <c r="J714" s="3"/>
      <c r="L714" s="1"/>
    </row>
    <row r="715" spans="1:12" x14ac:dyDescent="0.3">
      <c r="A715" s="3"/>
      <c r="C715" s="1"/>
      <c r="E715" s="1"/>
      <c r="J715" s="3"/>
      <c r="L715" s="1"/>
    </row>
    <row r="716" spans="1:12" x14ac:dyDescent="0.3">
      <c r="A716" s="3"/>
      <c r="C716" s="1"/>
      <c r="E716" s="1"/>
      <c r="J716" s="3"/>
      <c r="L716" s="1"/>
    </row>
    <row r="717" spans="1:12" x14ac:dyDescent="0.3">
      <c r="A717" s="3"/>
      <c r="C717" s="1"/>
      <c r="E717" s="1"/>
      <c r="J717" s="3"/>
      <c r="L717" s="1"/>
    </row>
    <row r="718" spans="1:12" x14ac:dyDescent="0.3">
      <c r="A718" s="3"/>
      <c r="C718" s="1"/>
      <c r="E718" s="1"/>
      <c r="J718" s="3"/>
      <c r="L718" s="1"/>
    </row>
    <row r="719" spans="1:12" x14ac:dyDescent="0.3">
      <c r="A719" s="3"/>
      <c r="C719" s="1"/>
      <c r="E719" s="1"/>
      <c r="J719" s="3"/>
      <c r="L719" s="1"/>
    </row>
    <row r="720" spans="1:12" x14ac:dyDescent="0.3">
      <c r="A720" s="3"/>
      <c r="C720" s="1"/>
      <c r="E720" s="1"/>
      <c r="J720" s="3"/>
      <c r="L720" s="1"/>
    </row>
    <row r="721" spans="1:12" x14ac:dyDescent="0.3">
      <c r="A721" s="3"/>
      <c r="C721" s="1"/>
      <c r="E721" s="1"/>
      <c r="J721" s="3"/>
      <c r="L721" s="1"/>
    </row>
    <row r="722" spans="1:12" x14ac:dyDescent="0.3">
      <c r="A722" s="3"/>
      <c r="C722" s="1"/>
      <c r="E722" s="1"/>
      <c r="J722" s="3"/>
      <c r="L722" s="1"/>
    </row>
    <row r="723" spans="1:12" x14ac:dyDescent="0.3">
      <c r="A723" s="3"/>
      <c r="C723" s="1"/>
      <c r="E723" s="1"/>
      <c r="J723" s="3"/>
      <c r="L723" s="1"/>
    </row>
    <row r="724" spans="1:12" x14ac:dyDescent="0.3">
      <c r="A724" s="3"/>
      <c r="C724" s="1"/>
      <c r="E724" s="1"/>
      <c r="J724" s="3"/>
      <c r="L724" s="1"/>
    </row>
    <row r="725" spans="1:12" x14ac:dyDescent="0.3">
      <c r="A725" s="3"/>
      <c r="C725" s="1"/>
      <c r="E725" s="1"/>
      <c r="J725" s="3"/>
      <c r="L725" s="1"/>
    </row>
    <row r="726" spans="1:12" x14ac:dyDescent="0.3">
      <c r="A726" s="3"/>
      <c r="C726" s="1"/>
      <c r="E726" s="1"/>
      <c r="J726" s="3"/>
      <c r="L726" s="1"/>
    </row>
    <row r="727" spans="1:12" x14ac:dyDescent="0.3">
      <c r="A727" s="3"/>
      <c r="C727" s="1"/>
      <c r="E727" s="1"/>
      <c r="J727" s="3"/>
      <c r="L727" s="1"/>
    </row>
    <row r="728" spans="1:12" x14ac:dyDescent="0.3">
      <c r="A728" s="3"/>
      <c r="C728" s="1"/>
      <c r="E728" s="1"/>
      <c r="J728" s="3"/>
      <c r="L728" s="1"/>
    </row>
    <row r="729" spans="1:12" x14ac:dyDescent="0.3">
      <c r="A729" s="3"/>
      <c r="C729" s="1"/>
      <c r="E729" s="1"/>
      <c r="J729" s="3"/>
      <c r="L729" s="1"/>
    </row>
    <row r="730" spans="1:12" x14ac:dyDescent="0.3">
      <c r="A730" s="3"/>
      <c r="C730" s="1"/>
      <c r="E730" s="1"/>
      <c r="J730" s="3"/>
      <c r="L730" s="1"/>
    </row>
    <row r="731" spans="1:12" x14ac:dyDescent="0.3">
      <c r="A731" s="3"/>
      <c r="C731" s="1"/>
      <c r="E731" s="1"/>
      <c r="J731" s="3"/>
      <c r="L731" s="1"/>
    </row>
    <row r="732" spans="1:12" x14ac:dyDescent="0.3">
      <c r="A732" s="3"/>
      <c r="C732" s="1"/>
      <c r="E732" s="1"/>
      <c r="J732" s="3"/>
      <c r="L732" s="1"/>
    </row>
    <row r="733" spans="1:12" x14ac:dyDescent="0.3">
      <c r="A733" s="3"/>
      <c r="C733" s="1"/>
      <c r="E733" s="1"/>
      <c r="J733" s="3"/>
      <c r="L733" s="1"/>
    </row>
    <row r="734" spans="1:12" x14ac:dyDescent="0.3">
      <c r="A734" s="3"/>
      <c r="C734" s="1"/>
      <c r="E734" s="1"/>
      <c r="J734" s="3"/>
      <c r="L734" s="1"/>
    </row>
    <row r="735" spans="1:12" x14ac:dyDescent="0.3">
      <c r="A735" s="3"/>
      <c r="C735" s="1"/>
      <c r="E735" s="1"/>
      <c r="J735" s="3"/>
      <c r="L735" s="1"/>
    </row>
    <row r="736" spans="1:12" x14ac:dyDescent="0.3">
      <c r="A736" s="3"/>
      <c r="C736" s="1"/>
      <c r="E736" s="1"/>
      <c r="J736" s="3"/>
      <c r="L736" s="1"/>
    </row>
    <row r="737" spans="1:12" x14ac:dyDescent="0.3">
      <c r="A737" s="3"/>
      <c r="C737" s="1"/>
      <c r="E737" s="1"/>
      <c r="J737" s="3"/>
      <c r="L737" s="1"/>
    </row>
    <row r="738" spans="1:12" x14ac:dyDescent="0.3">
      <c r="A738" s="3"/>
      <c r="C738" s="1"/>
      <c r="E738" s="1"/>
      <c r="J738" s="3"/>
      <c r="L738" s="1"/>
    </row>
    <row r="739" spans="1:12" x14ac:dyDescent="0.3">
      <c r="A739" s="3"/>
      <c r="C739" s="1"/>
      <c r="E739" s="1"/>
      <c r="J739" s="3"/>
      <c r="L739" s="1"/>
    </row>
    <row r="740" spans="1:12" x14ac:dyDescent="0.3">
      <c r="A740" s="3"/>
      <c r="C740" s="1"/>
      <c r="E740" s="1"/>
      <c r="J740" s="3"/>
      <c r="L740" s="1"/>
    </row>
    <row r="741" spans="1:12" x14ac:dyDescent="0.3">
      <c r="A741" s="3"/>
      <c r="C741" s="1"/>
      <c r="E741" s="1"/>
      <c r="J741" s="3"/>
      <c r="L741" s="1"/>
    </row>
    <row r="742" spans="1:12" x14ac:dyDescent="0.3">
      <c r="A742" s="3"/>
      <c r="C742" s="1"/>
      <c r="E742" s="1"/>
      <c r="J742" s="3"/>
      <c r="L742" s="1"/>
    </row>
    <row r="743" spans="1:12" x14ac:dyDescent="0.3">
      <c r="A743" s="3"/>
      <c r="C743" s="1"/>
      <c r="E743" s="1"/>
      <c r="J743" s="3"/>
      <c r="L743" s="1"/>
    </row>
    <row r="744" spans="1:12" x14ac:dyDescent="0.3">
      <c r="A744" s="3"/>
      <c r="C744" s="1"/>
      <c r="E744" s="1"/>
      <c r="J744" s="3"/>
      <c r="L744" s="1"/>
    </row>
    <row r="745" spans="1:12" x14ac:dyDescent="0.3">
      <c r="A745" s="3"/>
      <c r="C745" s="1"/>
      <c r="E745" s="1"/>
      <c r="J745" s="3"/>
      <c r="L745" s="1"/>
    </row>
    <row r="746" spans="1:12" x14ac:dyDescent="0.3">
      <c r="A746" s="3"/>
      <c r="C746" s="1"/>
      <c r="E746" s="1"/>
      <c r="J746" s="3"/>
      <c r="L746" s="1"/>
    </row>
    <row r="747" spans="1:12" x14ac:dyDescent="0.3">
      <c r="A747" s="3"/>
      <c r="C747" s="1"/>
      <c r="E747" s="1"/>
      <c r="J747" s="3"/>
      <c r="L747" s="1"/>
    </row>
    <row r="748" spans="1:12" x14ac:dyDescent="0.3">
      <c r="A748" s="3"/>
      <c r="C748" s="1"/>
      <c r="E748" s="1"/>
      <c r="J748" s="3"/>
      <c r="L748" s="1"/>
    </row>
    <row r="749" spans="1:12" x14ac:dyDescent="0.3">
      <c r="A749" s="3"/>
      <c r="C749" s="1"/>
      <c r="E749" s="1"/>
      <c r="J749" s="3"/>
      <c r="L749" s="1"/>
    </row>
    <row r="750" spans="1:12" x14ac:dyDescent="0.3">
      <c r="A750" s="3"/>
      <c r="C750" s="1"/>
      <c r="E750" s="1"/>
      <c r="J750" s="3"/>
      <c r="L750" s="1"/>
    </row>
    <row r="751" spans="1:12" x14ac:dyDescent="0.3">
      <c r="A751" s="3"/>
      <c r="C751" s="1"/>
      <c r="E751" s="1"/>
      <c r="J751" s="3"/>
      <c r="L751" s="1"/>
    </row>
    <row r="752" spans="1:12" x14ac:dyDescent="0.3">
      <c r="A752" s="3"/>
      <c r="C752" s="1"/>
      <c r="E752" s="1"/>
      <c r="J752" s="3"/>
      <c r="L752" s="1"/>
    </row>
    <row r="753" spans="1:12" x14ac:dyDescent="0.3">
      <c r="A753" s="3"/>
      <c r="C753" s="1"/>
      <c r="E753" s="1"/>
      <c r="J753" s="3"/>
      <c r="L753" s="1"/>
    </row>
    <row r="754" spans="1:12" x14ac:dyDescent="0.3">
      <c r="A754" s="3"/>
      <c r="C754" s="1"/>
      <c r="E754" s="1"/>
      <c r="J754" s="3"/>
      <c r="L754" s="1"/>
    </row>
    <row r="755" spans="1:12" x14ac:dyDescent="0.3">
      <c r="A755" s="3"/>
      <c r="C755" s="1"/>
      <c r="E755" s="1"/>
      <c r="J755" s="3"/>
      <c r="L755" s="1"/>
    </row>
    <row r="756" spans="1:12" x14ac:dyDescent="0.3">
      <c r="A756" s="3"/>
      <c r="C756" s="1"/>
      <c r="E756" s="1"/>
      <c r="J756" s="3"/>
      <c r="L756" s="1"/>
    </row>
    <row r="757" spans="1:12" x14ac:dyDescent="0.3">
      <c r="A757" s="3"/>
      <c r="C757" s="1"/>
      <c r="E757" s="1"/>
      <c r="J757" s="3"/>
      <c r="L757" s="1"/>
    </row>
    <row r="758" spans="1:12" x14ac:dyDescent="0.3">
      <c r="A758" s="3"/>
      <c r="C758" s="1"/>
      <c r="E758" s="1"/>
      <c r="J758" s="3"/>
      <c r="L758" s="1"/>
    </row>
    <row r="759" spans="1:12" x14ac:dyDescent="0.3">
      <c r="A759" s="3"/>
      <c r="C759" s="1"/>
      <c r="E759" s="1"/>
      <c r="J759" s="3"/>
      <c r="L759" s="1"/>
    </row>
    <row r="760" spans="1:12" x14ac:dyDescent="0.3">
      <c r="A760" s="3"/>
      <c r="C760" s="1"/>
      <c r="E760" s="1"/>
      <c r="J760" s="3"/>
      <c r="L760" s="1"/>
    </row>
    <row r="761" spans="1:12" x14ac:dyDescent="0.3">
      <c r="A761" s="3"/>
      <c r="C761" s="1"/>
      <c r="E761" s="1"/>
      <c r="J761" s="3"/>
      <c r="L761" s="1"/>
    </row>
    <row r="762" spans="1:12" x14ac:dyDescent="0.3">
      <c r="A762" s="3"/>
      <c r="C762" s="1"/>
      <c r="E762" s="1"/>
      <c r="J762" s="3"/>
      <c r="L762" s="1"/>
    </row>
    <row r="763" spans="1:12" x14ac:dyDescent="0.3">
      <c r="A763" s="3"/>
      <c r="C763" s="1"/>
      <c r="E763" s="1"/>
      <c r="J763" s="3"/>
      <c r="L763" s="1"/>
    </row>
    <row r="764" spans="1:12" x14ac:dyDescent="0.3">
      <c r="A764" s="3"/>
      <c r="C764" s="1"/>
      <c r="E764" s="1"/>
      <c r="J764" s="3"/>
      <c r="L764" s="1"/>
    </row>
    <row r="765" spans="1:12" x14ac:dyDescent="0.3">
      <c r="A765" s="3"/>
      <c r="C765" s="1"/>
      <c r="E765" s="1"/>
      <c r="J765" s="3"/>
      <c r="L765" s="1"/>
    </row>
    <row r="766" spans="1:12" x14ac:dyDescent="0.3">
      <c r="A766" s="3"/>
      <c r="C766" s="1"/>
      <c r="E766" s="1"/>
      <c r="J766" s="3"/>
      <c r="L766" s="1"/>
    </row>
    <row r="767" spans="1:12" x14ac:dyDescent="0.3">
      <c r="A767" s="3"/>
      <c r="C767" s="1"/>
      <c r="E767" s="1"/>
      <c r="J767" s="3"/>
      <c r="L767" s="1"/>
    </row>
    <row r="768" spans="1:12" x14ac:dyDescent="0.3">
      <c r="A768" s="3"/>
      <c r="C768" s="1"/>
      <c r="E768" s="1"/>
      <c r="J768" s="3"/>
      <c r="L768" s="1"/>
    </row>
    <row r="769" spans="1:12" x14ac:dyDescent="0.3">
      <c r="A769" s="3"/>
      <c r="C769" s="1"/>
      <c r="E769" s="1"/>
      <c r="J769" s="3"/>
      <c r="L769" s="1"/>
    </row>
    <row r="770" spans="1:12" x14ac:dyDescent="0.3">
      <c r="A770" s="3"/>
      <c r="C770" s="1"/>
      <c r="E770" s="1"/>
      <c r="J770" s="3"/>
      <c r="L770" s="1"/>
    </row>
    <row r="771" spans="1:12" x14ac:dyDescent="0.3">
      <c r="A771" s="3"/>
      <c r="C771" s="1"/>
      <c r="E771" s="1"/>
      <c r="J771" s="3"/>
      <c r="L771" s="1"/>
    </row>
    <row r="772" spans="1:12" x14ac:dyDescent="0.3">
      <c r="A772" s="3"/>
      <c r="C772" s="1"/>
      <c r="E772" s="1"/>
      <c r="J772" s="3"/>
      <c r="L772" s="1"/>
    </row>
    <row r="773" spans="1:12" x14ac:dyDescent="0.3">
      <c r="A773" s="3"/>
      <c r="C773" s="1"/>
      <c r="E773" s="1"/>
      <c r="J773" s="3"/>
      <c r="L773" s="1"/>
    </row>
    <row r="774" spans="1:12" x14ac:dyDescent="0.3">
      <c r="A774" s="3"/>
      <c r="C774" s="1"/>
      <c r="E774" s="1"/>
      <c r="J774" s="3"/>
      <c r="L774" s="1"/>
    </row>
    <row r="775" spans="1:12" x14ac:dyDescent="0.3">
      <c r="A775" s="3"/>
      <c r="C775" s="1"/>
      <c r="E775" s="1"/>
      <c r="J775" s="3"/>
      <c r="L775" s="1"/>
    </row>
    <row r="776" spans="1:12" x14ac:dyDescent="0.3">
      <c r="A776" s="3"/>
      <c r="C776" s="1"/>
      <c r="E776" s="1"/>
      <c r="J776" s="3"/>
      <c r="L776" s="1"/>
    </row>
    <row r="777" spans="1:12" x14ac:dyDescent="0.3">
      <c r="A777" s="3"/>
      <c r="C777" s="1"/>
      <c r="E777" s="1"/>
      <c r="J777" s="3"/>
      <c r="L777" s="1"/>
    </row>
    <row r="778" spans="1:12" x14ac:dyDescent="0.3">
      <c r="A778" s="3"/>
      <c r="C778" s="1"/>
      <c r="E778" s="1"/>
      <c r="J778" s="3"/>
      <c r="L778" s="1"/>
    </row>
    <row r="779" spans="1:12" x14ac:dyDescent="0.3">
      <c r="A779" s="3"/>
      <c r="C779" s="1"/>
      <c r="E779" s="1"/>
      <c r="J779" s="3"/>
      <c r="L779" s="1"/>
    </row>
    <row r="780" spans="1:12" x14ac:dyDescent="0.3">
      <c r="A780" s="3"/>
      <c r="C780" s="1"/>
      <c r="E780" s="1"/>
      <c r="J780" s="3"/>
      <c r="L780" s="1"/>
    </row>
    <row r="781" spans="1:12" x14ac:dyDescent="0.3">
      <c r="A781" s="3"/>
      <c r="C781" s="1"/>
      <c r="E781" s="1"/>
      <c r="J781" s="3"/>
      <c r="L781" s="1"/>
    </row>
    <row r="782" spans="1:12" x14ac:dyDescent="0.3">
      <c r="A782" s="3"/>
      <c r="C782" s="1"/>
      <c r="E782" s="1"/>
      <c r="J782" s="3"/>
      <c r="L782" s="1"/>
    </row>
    <row r="783" spans="1:12" x14ac:dyDescent="0.3">
      <c r="A783" s="3"/>
      <c r="C783" s="1"/>
      <c r="E783" s="1"/>
      <c r="J783" s="3"/>
      <c r="L783" s="1"/>
    </row>
    <row r="784" spans="1:12" x14ac:dyDescent="0.3">
      <c r="A784" s="3"/>
      <c r="C784" s="1"/>
      <c r="E784" s="1"/>
      <c r="J784" s="3"/>
      <c r="L784" s="1"/>
    </row>
    <row r="785" spans="1:12" x14ac:dyDescent="0.3">
      <c r="A785" s="3"/>
      <c r="C785" s="1"/>
      <c r="E785" s="1"/>
      <c r="J785" s="3"/>
      <c r="L785" s="1"/>
    </row>
    <row r="786" spans="1:12" x14ac:dyDescent="0.3">
      <c r="A786" s="3"/>
      <c r="C786" s="1"/>
      <c r="E786" s="1"/>
      <c r="J786" s="3"/>
      <c r="L786" s="1"/>
    </row>
    <row r="787" spans="1:12" x14ac:dyDescent="0.3">
      <c r="A787" s="3"/>
      <c r="C787" s="1"/>
      <c r="E787" s="1"/>
      <c r="J787" s="3"/>
      <c r="L787" s="1"/>
    </row>
    <row r="788" spans="1:12" x14ac:dyDescent="0.3">
      <c r="A788" s="3"/>
      <c r="C788" s="1"/>
      <c r="E788" s="1"/>
      <c r="J788" s="3"/>
      <c r="L788" s="1"/>
    </row>
    <row r="789" spans="1:12" x14ac:dyDescent="0.3">
      <c r="A789" s="3"/>
      <c r="C789" s="1"/>
      <c r="E789" s="1"/>
      <c r="J789" s="3"/>
      <c r="L789" s="1"/>
    </row>
    <row r="790" spans="1:12" x14ac:dyDescent="0.3">
      <c r="A790" s="3"/>
      <c r="C790" s="1"/>
      <c r="E790" s="1"/>
      <c r="J790" s="3"/>
      <c r="L790" s="1"/>
    </row>
    <row r="791" spans="1:12" x14ac:dyDescent="0.3">
      <c r="A791" s="3"/>
      <c r="C791" s="1"/>
      <c r="E791" s="1"/>
      <c r="J791" s="3"/>
      <c r="L791" s="1"/>
    </row>
    <row r="792" spans="1:12" x14ac:dyDescent="0.3">
      <c r="A792" s="3"/>
      <c r="C792" s="1"/>
      <c r="E792" s="1"/>
      <c r="J792" s="3"/>
      <c r="L792" s="1"/>
    </row>
    <row r="793" spans="1:12" x14ac:dyDescent="0.3">
      <c r="A793" s="3"/>
      <c r="C793" s="1"/>
      <c r="E793" s="1"/>
      <c r="J793" s="3"/>
      <c r="L793" s="1"/>
    </row>
    <row r="794" spans="1:12" x14ac:dyDescent="0.3">
      <c r="A794" s="3"/>
      <c r="C794" s="1"/>
      <c r="E794" s="1"/>
      <c r="J794" s="3"/>
      <c r="L794" s="1"/>
    </row>
    <row r="795" spans="1:12" x14ac:dyDescent="0.3">
      <c r="A795" s="3"/>
      <c r="C795" s="1"/>
      <c r="E795" s="1"/>
      <c r="J795" s="3"/>
      <c r="L795" s="1"/>
    </row>
    <row r="796" spans="1:12" x14ac:dyDescent="0.3">
      <c r="A796" s="3"/>
      <c r="C796" s="1"/>
      <c r="E796" s="1"/>
      <c r="J796" s="3"/>
      <c r="L796" s="1"/>
    </row>
    <row r="797" spans="1:12" x14ac:dyDescent="0.3">
      <c r="A797" s="3"/>
      <c r="C797" s="1"/>
      <c r="E797" s="1"/>
      <c r="J797" s="3"/>
      <c r="L797" s="1"/>
    </row>
    <row r="798" spans="1:12" x14ac:dyDescent="0.3">
      <c r="A798" s="3"/>
      <c r="C798" s="1"/>
      <c r="E798" s="1"/>
      <c r="J798" s="3"/>
      <c r="L798" s="1"/>
    </row>
    <row r="799" spans="1:12" x14ac:dyDescent="0.3">
      <c r="A799" s="3"/>
      <c r="C799" s="1"/>
      <c r="E799" s="1"/>
      <c r="J799" s="3"/>
      <c r="L799" s="1"/>
    </row>
    <row r="800" spans="1:12" x14ac:dyDescent="0.3">
      <c r="A800" s="3"/>
      <c r="C800" s="1"/>
      <c r="E800" s="1"/>
      <c r="J800" s="3"/>
      <c r="L800" s="1"/>
    </row>
    <row r="801" spans="1:12" x14ac:dyDescent="0.3">
      <c r="A801" s="3"/>
      <c r="C801" s="1"/>
      <c r="E801" s="1"/>
      <c r="J801" s="3"/>
      <c r="L801" s="1"/>
    </row>
    <row r="802" spans="1:12" x14ac:dyDescent="0.3">
      <c r="A802" s="3"/>
      <c r="C802" s="1"/>
      <c r="E802" s="1"/>
      <c r="J802" s="3"/>
      <c r="L802" s="1"/>
    </row>
    <row r="803" spans="1:12" x14ac:dyDescent="0.3">
      <c r="A803" s="3"/>
      <c r="C803" s="1"/>
      <c r="E803" s="1"/>
      <c r="J803" s="3"/>
      <c r="L803" s="1"/>
    </row>
    <row r="804" spans="1:12" x14ac:dyDescent="0.3">
      <c r="A804" s="3"/>
      <c r="C804" s="1"/>
      <c r="E804" s="1"/>
      <c r="J804" s="3"/>
      <c r="L804" s="1"/>
    </row>
    <row r="805" spans="1:12" x14ac:dyDescent="0.3">
      <c r="A805" s="3"/>
      <c r="C805" s="1"/>
      <c r="E805" s="1"/>
      <c r="J805" s="3"/>
      <c r="L805" s="1"/>
    </row>
    <row r="806" spans="1:12" x14ac:dyDescent="0.3">
      <c r="A806" s="3"/>
      <c r="C806" s="1"/>
      <c r="E806" s="1"/>
      <c r="J806" s="3"/>
      <c r="L806" s="1"/>
    </row>
    <row r="807" spans="1:12" x14ac:dyDescent="0.3">
      <c r="A807" s="3"/>
      <c r="C807" s="1"/>
      <c r="E807" s="1"/>
      <c r="J807" s="3"/>
      <c r="L807" s="1"/>
    </row>
    <row r="808" spans="1:12" x14ac:dyDescent="0.3">
      <c r="A808" s="3"/>
      <c r="C808" s="1"/>
      <c r="E808" s="1"/>
      <c r="J808" s="3"/>
      <c r="L808" s="1"/>
    </row>
    <row r="809" spans="1:12" x14ac:dyDescent="0.3">
      <c r="A809" s="3"/>
      <c r="C809" s="1"/>
      <c r="E809" s="1"/>
      <c r="J809" s="3"/>
      <c r="L809" s="1"/>
    </row>
    <row r="810" spans="1:12" x14ac:dyDescent="0.3">
      <c r="A810" s="3"/>
      <c r="C810" s="1"/>
      <c r="E810" s="1"/>
      <c r="J810" s="3"/>
      <c r="L810" s="1"/>
    </row>
    <row r="811" spans="1:12" x14ac:dyDescent="0.3">
      <c r="A811" s="3"/>
      <c r="C811" s="1"/>
      <c r="E811" s="1"/>
      <c r="J811" s="3"/>
      <c r="L811" s="1"/>
    </row>
    <row r="812" spans="1:12" x14ac:dyDescent="0.3">
      <c r="A812" s="3"/>
      <c r="C812" s="1"/>
      <c r="E812" s="1"/>
      <c r="J812" s="3"/>
      <c r="L812" s="1"/>
    </row>
    <row r="813" spans="1:12" x14ac:dyDescent="0.3">
      <c r="A813" s="3"/>
      <c r="C813" s="1"/>
      <c r="E813" s="1"/>
      <c r="J813" s="3"/>
      <c r="L813" s="1"/>
    </row>
    <row r="814" spans="1:12" x14ac:dyDescent="0.3">
      <c r="A814" s="3"/>
      <c r="C814" s="1"/>
      <c r="E814" s="1"/>
      <c r="J814" s="3"/>
      <c r="L814" s="1"/>
    </row>
    <row r="815" spans="1:12" x14ac:dyDescent="0.3">
      <c r="A815" s="3"/>
      <c r="C815" s="1"/>
      <c r="E815" s="1"/>
      <c r="J815" s="3"/>
      <c r="L815" s="1"/>
    </row>
    <row r="816" spans="1:12" x14ac:dyDescent="0.3">
      <c r="A816" s="3"/>
      <c r="C816" s="1"/>
      <c r="E816" s="1"/>
      <c r="J816" s="3"/>
      <c r="L816" s="1"/>
    </row>
    <row r="817" spans="1:12" x14ac:dyDescent="0.3">
      <c r="A817" s="3"/>
      <c r="C817" s="1"/>
      <c r="E817" s="1"/>
      <c r="J817" s="3"/>
      <c r="L817" s="1"/>
    </row>
    <row r="818" spans="1:12" x14ac:dyDescent="0.3">
      <c r="A818" s="3"/>
      <c r="C818" s="1"/>
      <c r="E818" s="1"/>
      <c r="J818" s="3"/>
      <c r="L818" s="1"/>
    </row>
    <row r="819" spans="1:12" x14ac:dyDescent="0.3">
      <c r="A819" s="3"/>
      <c r="C819" s="1"/>
      <c r="E819" s="1"/>
      <c r="J819" s="3"/>
      <c r="L819" s="1"/>
    </row>
    <row r="820" spans="1:12" x14ac:dyDescent="0.3">
      <c r="A820" s="3"/>
      <c r="C820" s="1"/>
      <c r="E820" s="1"/>
      <c r="J820" s="3"/>
      <c r="L820" s="1"/>
    </row>
    <row r="821" spans="1:12" x14ac:dyDescent="0.3">
      <c r="A821" s="3"/>
      <c r="C821" s="1"/>
      <c r="E821" s="1"/>
      <c r="J821" s="3"/>
      <c r="L821" s="1"/>
    </row>
    <row r="822" spans="1:12" x14ac:dyDescent="0.3">
      <c r="A822" s="3"/>
      <c r="C822" s="1"/>
      <c r="E822" s="1"/>
      <c r="J822" s="3"/>
      <c r="L822" s="1"/>
    </row>
    <row r="823" spans="1:12" x14ac:dyDescent="0.3">
      <c r="A823" s="3"/>
      <c r="C823" s="1"/>
      <c r="E823" s="1"/>
      <c r="J823" s="3"/>
      <c r="L823" s="1"/>
    </row>
    <row r="824" spans="1:12" x14ac:dyDescent="0.3">
      <c r="A824" s="3"/>
      <c r="C824" s="1"/>
      <c r="E824" s="1"/>
      <c r="J824" s="3"/>
      <c r="L824" s="1"/>
    </row>
    <row r="825" spans="1:12" x14ac:dyDescent="0.3">
      <c r="A825" s="3"/>
      <c r="C825" s="1"/>
      <c r="E825" s="1"/>
      <c r="J825" s="3"/>
      <c r="L825" s="1"/>
    </row>
    <row r="826" spans="1:12" x14ac:dyDescent="0.3">
      <c r="A826" s="3"/>
      <c r="C826" s="1"/>
      <c r="E826" s="1"/>
      <c r="J826" s="3"/>
      <c r="L826" s="1"/>
    </row>
    <row r="827" spans="1:12" x14ac:dyDescent="0.3">
      <c r="A827" s="3"/>
      <c r="C827" s="1"/>
      <c r="E827" s="1"/>
      <c r="J827" s="3"/>
      <c r="L827" s="1"/>
    </row>
    <row r="828" spans="1:12" x14ac:dyDescent="0.3">
      <c r="A828" s="3"/>
      <c r="C828" s="1"/>
      <c r="E828" s="1"/>
      <c r="J828" s="3"/>
      <c r="L828" s="1"/>
    </row>
    <row r="829" spans="1:12" x14ac:dyDescent="0.3">
      <c r="A829" s="3"/>
      <c r="C829" s="1"/>
      <c r="E829" s="1"/>
      <c r="J829" s="3"/>
      <c r="L829" s="1"/>
    </row>
    <row r="830" spans="1:12" x14ac:dyDescent="0.3">
      <c r="A830" s="3"/>
      <c r="C830" s="1"/>
      <c r="E830" s="1"/>
      <c r="J830" s="3"/>
      <c r="L830" s="1"/>
    </row>
    <row r="831" spans="1:12" x14ac:dyDescent="0.3">
      <c r="A831" s="3"/>
      <c r="C831" s="1"/>
      <c r="E831" s="1"/>
      <c r="J831" s="3"/>
      <c r="L831" s="1"/>
    </row>
    <row r="832" spans="1:12" x14ac:dyDescent="0.3">
      <c r="A832" s="3"/>
      <c r="C832" s="1"/>
      <c r="E832" s="1"/>
      <c r="J832" s="3"/>
      <c r="L832" s="1"/>
    </row>
    <row r="833" spans="1:12" x14ac:dyDescent="0.3">
      <c r="A833" s="3"/>
      <c r="C833" s="1"/>
      <c r="E833" s="1"/>
      <c r="J833" s="3"/>
      <c r="L833" s="1"/>
    </row>
    <row r="834" spans="1:12" x14ac:dyDescent="0.3">
      <c r="A834" s="3"/>
      <c r="C834" s="1"/>
      <c r="E834" s="1"/>
      <c r="J834" s="3"/>
      <c r="L834" s="1"/>
    </row>
    <row r="835" spans="1:12" x14ac:dyDescent="0.3">
      <c r="A835" s="3"/>
      <c r="C835" s="1"/>
      <c r="E835" s="1"/>
      <c r="J835" s="3"/>
      <c r="L835" s="1"/>
    </row>
    <row r="836" spans="1:12" x14ac:dyDescent="0.3">
      <c r="A836" s="3"/>
      <c r="C836" s="1"/>
      <c r="E836" s="1"/>
      <c r="J836" s="3"/>
      <c r="L836" s="1"/>
    </row>
    <row r="837" spans="1:12" x14ac:dyDescent="0.3">
      <c r="A837" s="3"/>
      <c r="C837" s="1"/>
      <c r="E837" s="1"/>
      <c r="J837" s="3"/>
      <c r="L837" s="1"/>
    </row>
    <row r="838" spans="1:12" x14ac:dyDescent="0.3">
      <c r="A838" s="3"/>
      <c r="C838" s="1"/>
      <c r="E838" s="1"/>
      <c r="J838" s="3"/>
      <c r="L838" s="1"/>
    </row>
    <row r="839" spans="1:12" x14ac:dyDescent="0.3">
      <c r="A839" s="3"/>
      <c r="C839" s="1"/>
      <c r="E839" s="1"/>
      <c r="J839" s="3"/>
      <c r="L839" s="1"/>
    </row>
    <row r="840" spans="1:12" x14ac:dyDescent="0.3">
      <c r="A840" s="3"/>
      <c r="C840" s="1"/>
      <c r="E840" s="1"/>
      <c r="J840" s="3"/>
      <c r="L840" s="1"/>
    </row>
    <row r="841" spans="1:12" x14ac:dyDescent="0.3">
      <c r="A841" s="3"/>
      <c r="C841" s="1"/>
      <c r="E841" s="1"/>
      <c r="J841" s="3"/>
      <c r="L841" s="1"/>
    </row>
    <row r="842" spans="1:12" x14ac:dyDescent="0.3">
      <c r="A842" s="3"/>
      <c r="C842" s="1"/>
      <c r="E842" s="1"/>
      <c r="J842" s="3"/>
      <c r="L842" s="1"/>
    </row>
    <row r="843" spans="1:12" x14ac:dyDescent="0.3">
      <c r="A843" s="3"/>
      <c r="C843" s="1"/>
      <c r="E843" s="1"/>
      <c r="J843" s="3"/>
      <c r="L843" s="1"/>
    </row>
    <row r="844" spans="1:12" x14ac:dyDescent="0.3">
      <c r="A844" s="3"/>
      <c r="C844" s="1"/>
      <c r="E844" s="1"/>
      <c r="J844" s="3"/>
      <c r="L844" s="1"/>
    </row>
    <row r="845" spans="1:12" x14ac:dyDescent="0.3">
      <c r="A845" s="3"/>
      <c r="C845" s="1"/>
      <c r="E845" s="1"/>
      <c r="J845" s="3"/>
      <c r="L845" s="1"/>
    </row>
    <row r="846" spans="1:12" x14ac:dyDescent="0.3">
      <c r="A846" s="3"/>
      <c r="C846" s="1"/>
      <c r="E846" s="1"/>
      <c r="J846" s="3"/>
      <c r="L846" s="1"/>
    </row>
    <row r="847" spans="1:12" x14ac:dyDescent="0.3">
      <c r="A847" s="3"/>
      <c r="C847" s="1"/>
      <c r="E847" s="1"/>
      <c r="J847" s="3"/>
      <c r="L847" s="1"/>
    </row>
    <row r="848" spans="1:12" x14ac:dyDescent="0.3">
      <c r="A848" s="3"/>
      <c r="C848" s="1"/>
      <c r="E848" s="1"/>
      <c r="J848" s="3"/>
      <c r="L848" s="1"/>
    </row>
    <row r="849" spans="1:12" x14ac:dyDescent="0.3">
      <c r="A849" s="3"/>
      <c r="C849" s="1"/>
      <c r="E849" s="1"/>
      <c r="J849" s="3"/>
      <c r="L849" s="1"/>
    </row>
    <row r="850" spans="1:12" x14ac:dyDescent="0.3">
      <c r="A850" s="3"/>
      <c r="C850" s="1"/>
      <c r="E850" s="1"/>
      <c r="J850" s="3"/>
      <c r="L850" s="1"/>
    </row>
    <row r="851" spans="1:12" x14ac:dyDescent="0.3">
      <c r="A851" s="3"/>
      <c r="C851" s="1"/>
      <c r="E851" s="1"/>
      <c r="J851" s="3"/>
      <c r="L851" s="1"/>
    </row>
    <row r="852" spans="1:12" x14ac:dyDescent="0.3">
      <c r="A852" s="3"/>
      <c r="C852" s="1"/>
      <c r="E852" s="1"/>
      <c r="J852" s="3"/>
      <c r="L852" s="1"/>
    </row>
    <row r="853" spans="1:12" x14ac:dyDescent="0.3">
      <c r="A853" s="3"/>
      <c r="C853" s="1"/>
      <c r="E853" s="1"/>
      <c r="J853" s="3"/>
      <c r="L853" s="1"/>
    </row>
    <row r="854" spans="1:12" x14ac:dyDescent="0.3">
      <c r="A854" s="3"/>
      <c r="C854" s="1"/>
      <c r="E854" s="1"/>
      <c r="J854" s="3"/>
      <c r="L854" s="1"/>
    </row>
    <row r="855" spans="1:12" x14ac:dyDescent="0.3">
      <c r="A855" s="3"/>
      <c r="C855" s="1"/>
      <c r="E855" s="1"/>
      <c r="J855" s="3"/>
      <c r="L855" s="1"/>
    </row>
    <row r="856" spans="1:12" x14ac:dyDescent="0.3">
      <c r="A856" s="3"/>
      <c r="C856" s="1"/>
      <c r="E856" s="1"/>
      <c r="J856" s="3"/>
      <c r="L856" s="1"/>
    </row>
    <row r="857" spans="1:12" x14ac:dyDescent="0.3">
      <c r="A857" s="3"/>
      <c r="C857" s="1"/>
      <c r="E857" s="1"/>
      <c r="J857" s="3"/>
      <c r="L857" s="1"/>
    </row>
    <row r="858" spans="1:12" x14ac:dyDescent="0.3">
      <c r="A858" s="3"/>
      <c r="C858" s="1"/>
      <c r="E858" s="1"/>
      <c r="J858" s="3"/>
      <c r="L858" s="1"/>
    </row>
    <row r="859" spans="1:12" x14ac:dyDescent="0.3">
      <c r="A859" s="3"/>
      <c r="C859" s="1"/>
      <c r="E859" s="1"/>
      <c r="J859" s="3"/>
      <c r="L859" s="1"/>
    </row>
    <row r="860" spans="1:12" x14ac:dyDescent="0.3">
      <c r="A860" s="3"/>
      <c r="C860" s="1"/>
      <c r="E860" s="1"/>
      <c r="J860" s="3"/>
      <c r="L860" s="1"/>
    </row>
    <row r="861" spans="1:12" x14ac:dyDescent="0.3">
      <c r="A861" s="3"/>
      <c r="C861" s="1"/>
      <c r="E861" s="1"/>
      <c r="J861" s="3"/>
      <c r="L861" s="1"/>
    </row>
    <row r="862" spans="1:12" x14ac:dyDescent="0.3">
      <c r="A862" s="3"/>
      <c r="C862" s="1"/>
      <c r="E862" s="1"/>
      <c r="J862" s="3"/>
      <c r="L862" s="1"/>
    </row>
    <row r="863" spans="1:12" x14ac:dyDescent="0.3">
      <c r="A863" s="3"/>
      <c r="C863" s="1"/>
      <c r="E863" s="1"/>
      <c r="J863" s="3"/>
      <c r="L863" s="1"/>
    </row>
    <row r="864" spans="1:12" x14ac:dyDescent="0.3">
      <c r="A864" s="3"/>
      <c r="C864" s="1"/>
      <c r="E864" s="1"/>
      <c r="J864" s="3"/>
      <c r="L864" s="1"/>
    </row>
    <row r="865" spans="1:12" x14ac:dyDescent="0.3">
      <c r="A865" s="3"/>
      <c r="C865" s="1"/>
      <c r="E865" s="1"/>
      <c r="J865" s="3"/>
      <c r="L865" s="1"/>
    </row>
    <row r="866" spans="1:12" x14ac:dyDescent="0.3">
      <c r="A866" s="3"/>
      <c r="C866" s="1"/>
      <c r="E866" s="1"/>
      <c r="J866" s="3"/>
      <c r="L866" s="1"/>
    </row>
    <row r="867" spans="1:12" x14ac:dyDescent="0.3">
      <c r="A867" s="3"/>
      <c r="C867" s="1"/>
      <c r="E867" s="1"/>
      <c r="J867" s="3"/>
      <c r="L867" s="1"/>
    </row>
    <row r="868" spans="1:12" x14ac:dyDescent="0.3">
      <c r="A868" s="3"/>
      <c r="C868" s="1"/>
      <c r="E868" s="1"/>
      <c r="J868" s="3"/>
      <c r="L868" s="1"/>
    </row>
    <row r="869" spans="1:12" x14ac:dyDescent="0.3">
      <c r="A869" s="3"/>
      <c r="C869" s="1"/>
      <c r="E869" s="1"/>
      <c r="J869" s="3"/>
      <c r="L869" s="1"/>
    </row>
    <row r="870" spans="1:12" x14ac:dyDescent="0.3">
      <c r="A870" s="3"/>
      <c r="C870" s="1"/>
      <c r="E870" s="1"/>
      <c r="J870" s="3"/>
      <c r="L870" s="1"/>
    </row>
    <row r="871" spans="1:12" x14ac:dyDescent="0.3">
      <c r="A871" s="3"/>
      <c r="C871" s="1"/>
      <c r="E871" s="1"/>
      <c r="J871" s="3"/>
      <c r="L871" s="1"/>
    </row>
    <row r="872" spans="1:12" x14ac:dyDescent="0.3">
      <c r="A872" s="3"/>
      <c r="C872" s="1"/>
      <c r="E872" s="1"/>
      <c r="J872" s="3"/>
      <c r="L872" s="1"/>
    </row>
    <row r="873" spans="1:12" x14ac:dyDescent="0.3">
      <c r="A873" s="3"/>
      <c r="C873" s="1"/>
      <c r="E873" s="1"/>
      <c r="J873" s="3"/>
      <c r="L873" s="1"/>
    </row>
    <row r="874" spans="1:12" x14ac:dyDescent="0.3">
      <c r="A874" s="3"/>
      <c r="C874" s="1"/>
      <c r="E874" s="1"/>
      <c r="J874" s="3"/>
      <c r="L874" s="1"/>
    </row>
    <row r="875" spans="1:12" x14ac:dyDescent="0.3">
      <c r="A875" s="3"/>
      <c r="C875" s="1"/>
      <c r="E875" s="1"/>
      <c r="J875" s="3"/>
      <c r="L875" s="1"/>
    </row>
    <row r="876" spans="1:12" x14ac:dyDescent="0.3">
      <c r="A876" s="3"/>
      <c r="C876" s="1"/>
      <c r="E876" s="1"/>
      <c r="J876" s="3"/>
      <c r="L876" s="1"/>
    </row>
    <row r="877" spans="1:12" x14ac:dyDescent="0.3">
      <c r="A877" s="3"/>
      <c r="C877" s="1"/>
      <c r="E877" s="1"/>
      <c r="J877" s="3"/>
      <c r="L877" s="1"/>
    </row>
    <row r="878" spans="1:12" x14ac:dyDescent="0.3">
      <c r="A878" s="3"/>
      <c r="C878" s="1"/>
      <c r="E878" s="1"/>
      <c r="J878" s="3"/>
      <c r="L878" s="1"/>
    </row>
    <row r="879" spans="1:12" x14ac:dyDescent="0.3">
      <c r="A879" s="3"/>
      <c r="C879" s="1"/>
      <c r="E879" s="1"/>
      <c r="J879" s="3"/>
      <c r="L879" s="1"/>
    </row>
    <row r="880" spans="1:12" x14ac:dyDescent="0.3">
      <c r="A880" s="3"/>
      <c r="C880" s="1"/>
      <c r="E880" s="1"/>
      <c r="J880" s="3"/>
      <c r="L880" s="1"/>
    </row>
    <row r="881" spans="1:12" x14ac:dyDescent="0.3">
      <c r="A881" s="3"/>
      <c r="C881" s="1"/>
      <c r="E881" s="1"/>
      <c r="J881" s="3"/>
      <c r="L881" s="1"/>
    </row>
    <row r="882" spans="1:12" x14ac:dyDescent="0.3">
      <c r="A882" s="3"/>
      <c r="C882" s="1"/>
      <c r="E882" s="1"/>
      <c r="J882" s="3"/>
      <c r="L882" s="1"/>
    </row>
    <row r="883" spans="1:12" x14ac:dyDescent="0.3">
      <c r="A883" s="3"/>
      <c r="C883" s="1"/>
      <c r="E883" s="1"/>
      <c r="J883" s="3"/>
      <c r="L883" s="1"/>
    </row>
    <row r="884" spans="1:12" x14ac:dyDescent="0.3">
      <c r="A884" s="3"/>
      <c r="C884" s="1"/>
      <c r="E884" s="1"/>
      <c r="J884" s="3"/>
      <c r="L884" s="1"/>
    </row>
    <row r="885" spans="1:12" x14ac:dyDescent="0.3">
      <c r="A885" s="3"/>
      <c r="C885" s="1"/>
      <c r="E885" s="1"/>
      <c r="J885" s="3"/>
      <c r="L885" s="1"/>
    </row>
    <row r="886" spans="1:12" x14ac:dyDescent="0.3">
      <c r="A886" s="3"/>
      <c r="C886" s="1"/>
      <c r="E886" s="1"/>
      <c r="J886" s="3"/>
      <c r="L886" s="1"/>
    </row>
    <row r="887" spans="1:12" x14ac:dyDescent="0.3">
      <c r="A887" s="3"/>
      <c r="C887" s="1"/>
      <c r="E887" s="1"/>
      <c r="J887" s="3"/>
      <c r="L887" s="1"/>
    </row>
    <row r="888" spans="1:12" x14ac:dyDescent="0.3">
      <c r="A888" s="3"/>
      <c r="C888" s="1"/>
      <c r="E888" s="1"/>
      <c r="J888" s="3"/>
      <c r="L888" s="1"/>
    </row>
    <row r="889" spans="1:12" x14ac:dyDescent="0.3">
      <c r="A889" s="3"/>
      <c r="C889" s="1"/>
      <c r="E889" s="1"/>
      <c r="J889" s="3"/>
      <c r="L889" s="1"/>
    </row>
    <row r="890" spans="1:12" x14ac:dyDescent="0.3">
      <c r="A890" s="3"/>
      <c r="C890" s="1"/>
      <c r="E890" s="1"/>
      <c r="J890" s="3"/>
      <c r="L890" s="1"/>
    </row>
    <row r="891" spans="1:12" x14ac:dyDescent="0.3">
      <c r="A891" s="3"/>
      <c r="C891" s="1"/>
      <c r="E891" s="1"/>
      <c r="J891" s="3"/>
      <c r="L891" s="1"/>
    </row>
    <row r="892" spans="1:12" x14ac:dyDescent="0.3">
      <c r="A892" s="3"/>
      <c r="C892" s="1"/>
      <c r="E892" s="1"/>
      <c r="J892" s="3"/>
      <c r="L892" s="1"/>
    </row>
    <row r="893" spans="1:12" x14ac:dyDescent="0.3">
      <c r="A893" s="3"/>
      <c r="C893" s="1"/>
      <c r="E893" s="1"/>
      <c r="J893" s="3"/>
      <c r="L893" s="1"/>
    </row>
    <row r="894" spans="1:12" x14ac:dyDescent="0.3">
      <c r="A894" s="3"/>
      <c r="C894" s="1"/>
      <c r="E894" s="1"/>
      <c r="J894" s="3"/>
      <c r="L894" s="1"/>
    </row>
    <row r="895" spans="1:12" x14ac:dyDescent="0.3">
      <c r="A895" s="3"/>
      <c r="C895" s="1"/>
      <c r="E895" s="1"/>
      <c r="J895" s="3"/>
      <c r="L895" s="1"/>
    </row>
    <row r="896" spans="1:12" x14ac:dyDescent="0.3">
      <c r="A896" s="3"/>
      <c r="C896" s="1"/>
      <c r="E896" s="1"/>
      <c r="J896" s="3"/>
      <c r="L896" s="1"/>
    </row>
    <row r="897" spans="1:12" x14ac:dyDescent="0.3">
      <c r="A897" s="3"/>
      <c r="C897" s="1"/>
      <c r="E897" s="1"/>
      <c r="J897" s="3"/>
      <c r="L897" s="1"/>
    </row>
    <row r="898" spans="1:12" x14ac:dyDescent="0.3">
      <c r="A898" s="3"/>
      <c r="C898" s="1"/>
      <c r="E898" s="1"/>
      <c r="J898" s="3"/>
      <c r="L898" s="1"/>
    </row>
    <row r="899" spans="1:12" x14ac:dyDescent="0.3">
      <c r="A899" s="3"/>
      <c r="C899" s="1"/>
      <c r="E899" s="1"/>
      <c r="J899" s="3"/>
      <c r="L899" s="1"/>
    </row>
    <row r="900" spans="1:12" x14ac:dyDescent="0.3">
      <c r="A900" s="3"/>
      <c r="C900" s="1"/>
      <c r="E900" s="1"/>
      <c r="J900" s="3"/>
      <c r="L900" s="1"/>
    </row>
    <row r="901" spans="1:12" x14ac:dyDescent="0.3">
      <c r="A901" s="3"/>
      <c r="C901" s="1"/>
      <c r="E901" s="1"/>
      <c r="J901" s="3"/>
      <c r="L901" s="1"/>
    </row>
    <row r="902" spans="1:12" x14ac:dyDescent="0.3">
      <c r="A902" s="3"/>
      <c r="C902" s="1"/>
      <c r="E902" s="1"/>
      <c r="J902" s="3"/>
      <c r="L902" s="1"/>
    </row>
    <row r="903" spans="1:12" x14ac:dyDescent="0.3">
      <c r="A903" s="3"/>
      <c r="C903" s="1"/>
      <c r="E903" s="1"/>
      <c r="J903" s="3"/>
      <c r="L903" s="1"/>
    </row>
    <row r="904" spans="1:12" x14ac:dyDescent="0.3">
      <c r="A904" s="3"/>
      <c r="C904" s="1"/>
      <c r="E904" s="1"/>
      <c r="J904" s="3"/>
      <c r="L904" s="1"/>
    </row>
    <row r="905" spans="1:12" x14ac:dyDescent="0.3">
      <c r="A905" s="3"/>
      <c r="C905" s="1"/>
      <c r="E905" s="1"/>
      <c r="J905" s="3"/>
      <c r="L905" s="1"/>
    </row>
    <row r="906" spans="1:12" x14ac:dyDescent="0.3">
      <c r="A906" s="3"/>
      <c r="C906" s="1"/>
      <c r="E906" s="1"/>
      <c r="J906" s="3"/>
      <c r="L906" s="1"/>
    </row>
    <row r="907" spans="1:12" x14ac:dyDescent="0.3">
      <c r="A907" s="3"/>
      <c r="C907" s="1"/>
      <c r="E907" s="1"/>
      <c r="J907" s="3"/>
      <c r="L907" s="1"/>
    </row>
    <row r="908" spans="1:12" x14ac:dyDescent="0.3">
      <c r="A908" s="3"/>
      <c r="C908" s="1"/>
      <c r="E908" s="1"/>
      <c r="J908" s="3"/>
      <c r="L908" s="1"/>
    </row>
    <row r="909" spans="1:12" x14ac:dyDescent="0.3">
      <c r="A909" s="3"/>
      <c r="C909" s="1"/>
      <c r="E909" s="1"/>
      <c r="J909" s="3"/>
      <c r="L909" s="1"/>
    </row>
    <row r="910" spans="1:12" x14ac:dyDescent="0.3">
      <c r="A910" s="3"/>
      <c r="C910" s="1"/>
      <c r="E910" s="1"/>
      <c r="J910" s="3"/>
      <c r="L910" s="1"/>
    </row>
    <row r="911" spans="1:12" x14ac:dyDescent="0.3">
      <c r="A911" s="3"/>
      <c r="C911" s="1"/>
      <c r="E911" s="1"/>
      <c r="J911" s="3"/>
      <c r="L911" s="1"/>
    </row>
    <row r="912" spans="1:12" x14ac:dyDescent="0.3">
      <c r="A912" s="3"/>
      <c r="C912" s="1"/>
      <c r="E912" s="1"/>
      <c r="J912" s="3"/>
      <c r="L912" s="1"/>
    </row>
    <row r="913" spans="1:12" x14ac:dyDescent="0.3">
      <c r="A913" s="3"/>
      <c r="C913" s="1"/>
      <c r="E913" s="1"/>
      <c r="J913" s="3"/>
      <c r="L913" s="1"/>
    </row>
    <row r="914" spans="1:12" x14ac:dyDescent="0.3">
      <c r="A914" s="3"/>
      <c r="C914" s="1"/>
      <c r="E914" s="1"/>
      <c r="J914" s="3"/>
      <c r="L914" s="1"/>
    </row>
    <row r="915" spans="1:12" x14ac:dyDescent="0.3">
      <c r="A915" s="3"/>
      <c r="C915" s="1"/>
      <c r="E915" s="1"/>
      <c r="J915" s="3"/>
      <c r="L915" s="1"/>
    </row>
    <row r="916" spans="1:12" x14ac:dyDescent="0.3">
      <c r="A916" s="3"/>
      <c r="C916" s="1"/>
      <c r="E916" s="1"/>
      <c r="J916" s="3"/>
      <c r="L916" s="1"/>
    </row>
    <row r="917" spans="1:12" x14ac:dyDescent="0.3">
      <c r="A917" s="3"/>
      <c r="C917" s="1"/>
      <c r="E917" s="1"/>
      <c r="J917" s="3"/>
      <c r="L917" s="1"/>
    </row>
    <row r="918" spans="1:12" x14ac:dyDescent="0.3">
      <c r="A918" s="3"/>
      <c r="C918" s="1"/>
      <c r="E918" s="1"/>
      <c r="J918" s="3"/>
      <c r="L918" s="1"/>
    </row>
    <row r="919" spans="1:12" x14ac:dyDescent="0.3">
      <c r="A919" s="3"/>
      <c r="C919" s="1"/>
      <c r="E919" s="1"/>
      <c r="J919" s="3"/>
      <c r="L919" s="1"/>
    </row>
    <row r="920" spans="1:12" x14ac:dyDescent="0.3">
      <c r="A920" s="3"/>
      <c r="C920" s="1"/>
      <c r="E920" s="1"/>
      <c r="J920" s="3"/>
      <c r="L920" s="1"/>
    </row>
    <row r="921" spans="1:12" x14ac:dyDescent="0.3">
      <c r="A921" s="3"/>
      <c r="C921" s="1"/>
      <c r="E921" s="1"/>
      <c r="J921" s="3"/>
      <c r="L921" s="1"/>
    </row>
    <row r="922" spans="1:12" x14ac:dyDescent="0.3">
      <c r="A922" s="3"/>
      <c r="C922" s="1"/>
      <c r="E922" s="1"/>
      <c r="J922" s="3"/>
      <c r="L922" s="1"/>
    </row>
    <row r="923" spans="1:12" x14ac:dyDescent="0.3">
      <c r="A923" s="3"/>
      <c r="C923" s="1"/>
      <c r="E923" s="1"/>
      <c r="J923" s="3"/>
      <c r="L923" s="1"/>
    </row>
    <row r="924" spans="1:12" x14ac:dyDescent="0.3">
      <c r="A924" s="3"/>
      <c r="C924" s="1"/>
      <c r="E924" s="1"/>
      <c r="J924" s="3"/>
      <c r="L924" s="1"/>
    </row>
    <row r="925" spans="1:12" x14ac:dyDescent="0.3">
      <c r="A925" s="3"/>
      <c r="C925" s="1"/>
      <c r="E925" s="1"/>
      <c r="J925" s="3"/>
      <c r="L925" s="1"/>
    </row>
    <row r="926" spans="1:12" x14ac:dyDescent="0.3">
      <c r="A926" s="3"/>
      <c r="C926" s="1"/>
      <c r="E926" s="1"/>
      <c r="J926" s="3"/>
      <c r="L926" s="1"/>
    </row>
    <row r="927" spans="1:12" x14ac:dyDescent="0.3">
      <c r="A927" s="3"/>
      <c r="C927" s="1"/>
      <c r="E927" s="1"/>
      <c r="J927" s="3"/>
      <c r="L927" s="1"/>
    </row>
    <row r="928" spans="1:12" x14ac:dyDescent="0.3">
      <c r="A928" s="3"/>
      <c r="C928" s="1"/>
      <c r="E928" s="1"/>
      <c r="J928" s="3"/>
      <c r="L928" s="1"/>
    </row>
    <row r="929" spans="1:12" x14ac:dyDescent="0.3">
      <c r="A929" s="3"/>
      <c r="C929" s="1"/>
      <c r="E929" s="1"/>
      <c r="J929" s="3"/>
      <c r="L929" s="1"/>
    </row>
    <row r="930" spans="1:12" x14ac:dyDescent="0.3">
      <c r="A930" s="3"/>
      <c r="C930" s="1"/>
      <c r="E930" s="1"/>
      <c r="J930" s="3"/>
      <c r="L930" s="1"/>
    </row>
    <row r="931" spans="1:12" x14ac:dyDescent="0.3">
      <c r="A931" s="3"/>
      <c r="C931" s="1"/>
      <c r="E931" s="1"/>
      <c r="J931" s="3"/>
      <c r="L931" s="1"/>
    </row>
    <row r="932" spans="1:12" x14ac:dyDescent="0.3">
      <c r="A932" s="3"/>
      <c r="C932" s="1"/>
      <c r="E932" s="1"/>
      <c r="J932" s="3"/>
      <c r="L932" s="1"/>
    </row>
    <row r="933" spans="1:12" x14ac:dyDescent="0.3">
      <c r="A933" s="3"/>
      <c r="C933" s="1"/>
      <c r="E933" s="1"/>
      <c r="J933" s="3"/>
      <c r="L933" s="1"/>
    </row>
    <row r="934" spans="1:12" x14ac:dyDescent="0.3">
      <c r="A934" s="3"/>
      <c r="C934" s="1"/>
      <c r="E934" s="1"/>
      <c r="J934" s="3"/>
      <c r="L934" s="1"/>
    </row>
    <row r="935" spans="1:12" x14ac:dyDescent="0.3">
      <c r="A935" s="3"/>
      <c r="C935" s="1"/>
      <c r="E935" s="1"/>
      <c r="J935" s="3"/>
      <c r="L935" s="1"/>
    </row>
    <row r="936" spans="1:12" x14ac:dyDescent="0.3">
      <c r="A936" s="3"/>
      <c r="C936" s="1"/>
      <c r="E936" s="1"/>
      <c r="J936" s="3"/>
      <c r="L936" s="1"/>
    </row>
    <row r="937" spans="1:12" x14ac:dyDescent="0.3">
      <c r="A937" s="3"/>
      <c r="C937" s="1"/>
      <c r="E937" s="1"/>
      <c r="J937" s="3"/>
      <c r="L937" s="1"/>
    </row>
    <row r="938" spans="1:12" x14ac:dyDescent="0.3">
      <c r="A938" s="3"/>
      <c r="C938" s="1"/>
      <c r="E938" s="1"/>
      <c r="J938" s="3"/>
      <c r="L938" s="1"/>
    </row>
    <row r="939" spans="1:12" x14ac:dyDescent="0.3">
      <c r="A939" s="3"/>
      <c r="C939" s="1"/>
      <c r="E939" s="1"/>
      <c r="J939" s="3"/>
      <c r="L939" s="1"/>
    </row>
    <row r="940" spans="1:12" x14ac:dyDescent="0.3">
      <c r="A940" s="3"/>
      <c r="C940" s="1"/>
      <c r="E940" s="1"/>
      <c r="J940" s="3"/>
      <c r="L940" s="1"/>
    </row>
    <row r="941" spans="1:12" x14ac:dyDescent="0.3">
      <c r="A941" s="3"/>
      <c r="C941" s="1"/>
      <c r="E941" s="1"/>
      <c r="J941" s="3"/>
      <c r="L941" s="1"/>
    </row>
    <row r="942" spans="1:12" x14ac:dyDescent="0.3">
      <c r="A942" s="3"/>
      <c r="C942" s="1"/>
      <c r="E942" s="1"/>
      <c r="J942" s="3"/>
      <c r="L942" s="1"/>
    </row>
    <row r="943" spans="1:12" x14ac:dyDescent="0.3">
      <c r="A943" s="3"/>
      <c r="C943" s="1"/>
      <c r="E943" s="1"/>
      <c r="J943" s="3"/>
      <c r="L943" s="1"/>
    </row>
    <row r="944" spans="1:12" x14ac:dyDescent="0.3">
      <c r="A944" s="3"/>
      <c r="C944" s="1"/>
      <c r="E944" s="1"/>
      <c r="J944" s="3"/>
      <c r="L944" s="1"/>
    </row>
    <row r="945" spans="1:12" x14ac:dyDescent="0.3">
      <c r="A945" s="3"/>
      <c r="C945" s="1"/>
      <c r="E945" s="1"/>
      <c r="J945" s="3"/>
      <c r="L945" s="1"/>
    </row>
    <row r="946" spans="1:12" x14ac:dyDescent="0.3">
      <c r="A946" s="3"/>
      <c r="C946" s="1"/>
      <c r="E946" s="1"/>
      <c r="J946" s="3"/>
      <c r="L946" s="1"/>
    </row>
    <row r="947" spans="1:12" x14ac:dyDescent="0.3">
      <c r="A947" s="3"/>
      <c r="C947" s="1"/>
      <c r="E947" s="1"/>
      <c r="J947" s="3"/>
      <c r="L947" s="1"/>
    </row>
    <row r="948" spans="1:12" x14ac:dyDescent="0.3">
      <c r="A948" s="3"/>
      <c r="C948" s="1"/>
      <c r="E948" s="1"/>
      <c r="J948" s="3"/>
      <c r="L948" s="1"/>
    </row>
    <row r="949" spans="1:12" x14ac:dyDescent="0.3">
      <c r="A949" s="3"/>
      <c r="C949" s="1"/>
      <c r="E949" s="1"/>
      <c r="J949" s="3"/>
      <c r="L949" s="1"/>
    </row>
    <row r="950" spans="1:12" x14ac:dyDescent="0.3">
      <c r="A950" s="3"/>
      <c r="C950" s="1"/>
      <c r="E950" s="1"/>
      <c r="J950" s="3"/>
      <c r="L950" s="1"/>
    </row>
    <row r="951" spans="1:12" x14ac:dyDescent="0.3">
      <c r="A951" s="3"/>
      <c r="C951" s="1"/>
      <c r="E951" s="1"/>
      <c r="J951" s="3"/>
      <c r="L951" s="1"/>
    </row>
    <row r="952" spans="1:12" x14ac:dyDescent="0.3">
      <c r="A952" s="3"/>
      <c r="C952" s="1"/>
      <c r="E952" s="1"/>
      <c r="J952" s="3"/>
      <c r="L952" s="1"/>
    </row>
    <row r="953" spans="1:12" x14ac:dyDescent="0.3">
      <c r="A953" s="3"/>
      <c r="C953" s="1"/>
      <c r="E953" s="1"/>
      <c r="J953" s="3"/>
      <c r="L953" s="1"/>
    </row>
    <row r="954" spans="1:12" x14ac:dyDescent="0.3">
      <c r="A954" s="3"/>
      <c r="C954" s="1"/>
      <c r="E954" s="1"/>
      <c r="J954" s="3"/>
      <c r="L954" s="1"/>
    </row>
    <row r="955" spans="1:12" x14ac:dyDescent="0.3">
      <c r="A955" s="3"/>
      <c r="C955" s="1"/>
      <c r="E955" s="1"/>
      <c r="J955" s="3"/>
      <c r="L955" s="1"/>
    </row>
    <row r="956" spans="1:12" x14ac:dyDescent="0.3">
      <c r="A956" s="3"/>
      <c r="C956" s="1"/>
      <c r="E956" s="1"/>
      <c r="J956" s="3"/>
      <c r="L956" s="1"/>
    </row>
    <row r="957" spans="1:12" x14ac:dyDescent="0.3">
      <c r="A957" s="3"/>
      <c r="C957" s="1"/>
      <c r="E957" s="1"/>
      <c r="J957" s="3"/>
      <c r="L957" s="1"/>
    </row>
    <row r="958" spans="1:12" x14ac:dyDescent="0.3">
      <c r="A958" s="3"/>
      <c r="C958" s="1"/>
      <c r="E958" s="1"/>
      <c r="J958" s="3"/>
      <c r="L958" s="1"/>
    </row>
    <row r="959" spans="1:12" x14ac:dyDescent="0.3">
      <c r="A959" s="3"/>
      <c r="C959" s="1"/>
      <c r="E959" s="1"/>
      <c r="J959" s="3"/>
      <c r="L959" s="1"/>
    </row>
    <row r="960" spans="1:12" x14ac:dyDescent="0.3">
      <c r="A960" s="3"/>
      <c r="C960" s="1"/>
      <c r="E960" s="1"/>
      <c r="J960" s="3"/>
      <c r="L960" s="1"/>
    </row>
    <row r="961" spans="1:12" x14ac:dyDescent="0.3">
      <c r="A961" s="3"/>
      <c r="C961" s="1"/>
      <c r="E961" s="1"/>
      <c r="J961" s="3"/>
      <c r="L961" s="1"/>
    </row>
    <row r="962" spans="1:12" x14ac:dyDescent="0.3">
      <c r="A962" s="3"/>
      <c r="C962" s="1"/>
      <c r="E962" s="1"/>
      <c r="J962" s="3"/>
      <c r="L962" s="1"/>
    </row>
    <row r="963" spans="1:12" x14ac:dyDescent="0.3">
      <c r="A963" s="3"/>
      <c r="C963" s="1"/>
      <c r="E963" s="1"/>
      <c r="J963" s="3"/>
      <c r="L963" s="1"/>
    </row>
    <row r="964" spans="1:12" x14ac:dyDescent="0.3">
      <c r="A964" s="3"/>
      <c r="C964" s="1"/>
      <c r="E964" s="1"/>
      <c r="J964" s="3"/>
      <c r="L964" s="1"/>
    </row>
    <row r="965" spans="1:12" x14ac:dyDescent="0.3">
      <c r="A965" s="3"/>
      <c r="C965" s="1"/>
      <c r="E965" s="1"/>
      <c r="J965" s="3"/>
      <c r="L965" s="1"/>
    </row>
    <row r="966" spans="1:12" x14ac:dyDescent="0.3">
      <c r="A966" s="3"/>
      <c r="C966" s="1"/>
      <c r="E966" s="1"/>
      <c r="J966" s="3"/>
      <c r="L966" s="1"/>
    </row>
    <row r="967" spans="1:12" x14ac:dyDescent="0.3">
      <c r="A967" s="3"/>
      <c r="C967" s="1"/>
      <c r="E967" s="1"/>
      <c r="J967" s="3"/>
      <c r="L967" s="1"/>
    </row>
    <row r="968" spans="1:12" x14ac:dyDescent="0.3">
      <c r="A968" s="3"/>
      <c r="C968" s="1"/>
      <c r="E968" s="1"/>
      <c r="J968" s="3"/>
      <c r="L968" s="1"/>
    </row>
    <row r="969" spans="1:12" x14ac:dyDescent="0.3">
      <c r="A969" s="3"/>
      <c r="C969" s="1"/>
      <c r="E969" s="1"/>
      <c r="J969" s="3"/>
      <c r="L969" s="1"/>
    </row>
    <row r="970" spans="1:12" x14ac:dyDescent="0.3">
      <c r="A970" s="3"/>
      <c r="C970" s="1"/>
      <c r="E970" s="1"/>
      <c r="J970" s="3"/>
      <c r="L970" s="1"/>
    </row>
    <row r="971" spans="1:12" x14ac:dyDescent="0.3">
      <c r="A971" s="3"/>
      <c r="C971" s="1"/>
      <c r="E971" s="1"/>
      <c r="J971" s="3"/>
      <c r="L971" s="1"/>
    </row>
    <row r="972" spans="1:12" x14ac:dyDescent="0.3">
      <c r="A972" s="3"/>
      <c r="C972" s="1"/>
      <c r="E972" s="1"/>
      <c r="J972" s="3"/>
      <c r="L972" s="1"/>
    </row>
    <row r="973" spans="1:12" x14ac:dyDescent="0.3">
      <c r="A973" s="3"/>
      <c r="C973" s="1"/>
      <c r="E973" s="1"/>
      <c r="J973" s="3"/>
      <c r="L973" s="1"/>
    </row>
    <row r="974" spans="1:12" x14ac:dyDescent="0.3">
      <c r="A974" s="3"/>
      <c r="C974" s="1"/>
      <c r="E974" s="1"/>
      <c r="J974" s="3"/>
      <c r="L974" s="1"/>
    </row>
    <row r="975" spans="1:12" x14ac:dyDescent="0.3">
      <c r="A975" s="3"/>
      <c r="C975" s="1"/>
      <c r="E975" s="1"/>
      <c r="J975" s="3"/>
      <c r="L975" s="1"/>
    </row>
    <row r="976" spans="1:12" x14ac:dyDescent="0.3">
      <c r="A976" s="3"/>
      <c r="C976" s="1"/>
      <c r="E976" s="1"/>
      <c r="J976" s="3"/>
      <c r="L976" s="1"/>
    </row>
    <row r="977" spans="1:12" x14ac:dyDescent="0.3">
      <c r="A977" s="3"/>
      <c r="C977" s="1"/>
      <c r="E977" s="1"/>
      <c r="J977" s="3"/>
      <c r="L977" s="1"/>
    </row>
    <row r="978" spans="1:12" x14ac:dyDescent="0.3">
      <c r="A978" s="3"/>
      <c r="C978" s="1"/>
      <c r="E978" s="1"/>
      <c r="J978" s="3"/>
      <c r="L978" s="1"/>
    </row>
    <row r="979" spans="1:12" x14ac:dyDescent="0.3">
      <c r="A979" s="3"/>
      <c r="C979" s="1"/>
      <c r="E979" s="1"/>
      <c r="J979" s="3"/>
      <c r="L979" s="1"/>
    </row>
    <row r="980" spans="1:12" x14ac:dyDescent="0.3">
      <c r="A980" s="3"/>
      <c r="C980" s="1"/>
      <c r="E980" s="1"/>
      <c r="J980" s="3"/>
      <c r="L980" s="1"/>
    </row>
    <row r="981" spans="1:12" x14ac:dyDescent="0.3">
      <c r="A981" s="3"/>
      <c r="C981" s="1"/>
      <c r="E981" s="1"/>
      <c r="J981" s="3"/>
      <c r="L981" s="1"/>
    </row>
    <row r="982" spans="1:12" x14ac:dyDescent="0.3">
      <c r="A982" s="3"/>
      <c r="C982" s="1"/>
      <c r="E982" s="1"/>
      <c r="J982" s="3"/>
      <c r="L982" s="1"/>
    </row>
    <row r="983" spans="1:12" x14ac:dyDescent="0.3">
      <c r="A983" s="3"/>
      <c r="C983" s="1"/>
      <c r="E983" s="1"/>
      <c r="J983" s="3"/>
      <c r="L983" s="1"/>
    </row>
    <row r="984" spans="1:12" x14ac:dyDescent="0.3">
      <c r="A984" s="3"/>
      <c r="C984" s="1"/>
      <c r="E984" s="1"/>
      <c r="J984" s="3"/>
      <c r="L984" s="1"/>
    </row>
    <row r="985" spans="1:12" x14ac:dyDescent="0.3">
      <c r="A985" s="3"/>
      <c r="C985" s="1"/>
      <c r="E985" s="1"/>
      <c r="J985" s="3"/>
      <c r="L985" s="1"/>
    </row>
    <row r="986" spans="1:12" x14ac:dyDescent="0.3">
      <c r="A986" s="3"/>
      <c r="C986" s="1"/>
      <c r="E986" s="1"/>
      <c r="J986" s="3"/>
      <c r="L986" s="1"/>
    </row>
    <row r="987" spans="1:12" x14ac:dyDescent="0.3">
      <c r="A987" s="3"/>
      <c r="C987" s="1"/>
      <c r="E987" s="1"/>
      <c r="J987" s="3"/>
      <c r="L987" s="1"/>
    </row>
    <row r="988" spans="1:12" x14ac:dyDescent="0.3">
      <c r="A988" s="3"/>
      <c r="C988" s="1"/>
      <c r="E988" s="1"/>
      <c r="J988" s="3"/>
      <c r="L988" s="1"/>
    </row>
    <row r="989" spans="1:12" x14ac:dyDescent="0.3">
      <c r="A989" s="3"/>
      <c r="C989" s="1"/>
      <c r="E989" s="1"/>
      <c r="J989" s="3"/>
      <c r="L989" s="1"/>
    </row>
    <row r="990" spans="1:12" x14ac:dyDescent="0.3">
      <c r="A990" s="3"/>
      <c r="C990" s="1"/>
      <c r="E990" s="1"/>
      <c r="J990" s="3"/>
      <c r="L990" s="1"/>
    </row>
    <row r="991" spans="1:12" x14ac:dyDescent="0.3">
      <c r="A991" s="3"/>
      <c r="C991" s="1"/>
      <c r="E991" s="1"/>
      <c r="J991" s="3"/>
      <c r="L991" s="1"/>
    </row>
    <row r="992" spans="1:12" x14ac:dyDescent="0.3">
      <c r="A992" s="3"/>
      <c r="C992" s="1"/>
      <c r="E992" s="1"/>
      <c r="J992" s="3"/>
      <c r="L992" s="1"/>
    </row>
    <row r="993" spans="1:12" x14ac:dyDescent="0.3">
      <c r="A993" s="3"/>
      <c r="C993" s="1"/>
      <c r="E993" s="1"/>
      <c r="J993" s="3"/>
      <c r="L993" s="1"/>
    </row>
    <row r="994" spans="1:12" x14ac:dyDescent="0.3">
      <c r="A994" s="3"/>
      <c r="C994" s="1"/>
      <c r="E994" s="1"/>
      <c r="J994" s="3"/>
      <c r="L994" s="1"/>
    </row>
    <row r="995" spans="1:12" x14ac:dyDescent="0.3">
      <c r="A995" s="3"/>
      <c r="C995" s="1"/>
      <c r="E995" s="1"/>
      <c r="J995" s="3"/>
      <c r="L995" s="1"/>
    </row>
    <row r="996" spans="1:12" x14ac:dyDescent="0.3">
      <c r="A996" s="3"/>
      <c r="C996" s="1"/>
      <c r="E996" s="1"/>
      <c r="J996" s="3"/>
      <c r="L996" s="1"/>
    </row>
    <row r="997" spans="1:12" x14ac:dyDescent="0.3">
      <c r="A997" s="3"/>
      <c r="C997" s="1"/>
      <c r="E997" s="1"/>
      <c r="J997" s="3"/>
      <c r="L997" s="1"/>
    </row>
    <row r="998" spans="1:12" x14ac:dyDescent="0.3">
      <c r="A998" s="3"/>
      <c r="C998" s="1"/>
      <c r="E998" s="1"/>
      <c r="J998" s="3"/>
      <c r="L998" s="1"/>
    </row>
    <row r="999" spans="1:12" x14ac:dyDescent="0.3">
      <c r="A999" s="3"/>
      <c r="C999" s="1"/>
      <c r="E999" s="1"/>
      <c r="J999" s="3"/>
      <c r="L999" s="1"/>
    </row>
    <row r="1000" spans="1:12" x14ac:dyDescent="0.3">
      <c r="A1000" s="3"/>
      <c r="C1000" s="1"/>
      <c r="E1000" s="1"/>
      <c r="J1000" s="3"/>
      <c r="L1000" s="1"/>
    </row>
    <row r="1001" spans="1:12" x14ac:dyDescent="0.3">
      <c r="A1001" s="3"/>
      <c r="C1001" s="1"/>
      <c r="E1001" s="1"/>
      <c r="J1001" s="3"/>
      <c r="L1001" s="1"/>
    </row>
    <row r="1002" spans="1:12" x14ac:dyDescent="0.3">
      <c r="A1002" s="3"/>
      <c r="C1002" s="1"/>
      <c r="E1002" s="1"/>
      <c r="J1002" s="3"/>
      <c r="L1002" s="1"/>
    </row>
    <row r="1003" spans="1:12" x14ac:dyDescent="0.3">
      <c r="A1003" s="3"/>
      <c r="C1003" s="1"/>
      <c r="E1003" s="1"/>
      <c r="J1003" s="3"/>
      <c r="L1003" s="1"/>
    </row>
    <row r="1004" spans="1:12" x14ac:dyDescent="0.3">
      <c r="A1004" s="3"/>
      <c r="C1004" s="1"/>
      <c r="E1004" s="1"/>
      <c r="J1004" s="3"/>
      <c r="L1004" s="1"/>
    </row>
    <row r="1005" spans="1:12" x14ac:dyDescent="0.3">
      <c r="A1005" s="3"/>
      <c r="C1005" s="1"/>
      <c r="E1005" s="1"/>
      <c r="J1005" s="3"/>
      <c r="L1005" s="1"/>
    </row>
    <row r="1006" spans="1:12" x14ac:dyDescent="0.3">
      <c r="A1006" s="3"/>
      <c r="C1006" s="1"/>
      <c r="E1006" s="1"/>
      <c r="J1006" s="3"/>
      <c r="L1006" s="1"/>
    </row>
    <row r="1007" spans="1:12" x14ac:dyDescent="0.3">
      <c r="A1007" s="3"/>
      <c r="C1007" s="1"/>
      <c r="E1007" s="1"/>
      <c r="J1007" s="3"/>
      <c r="L1007" s="1"/>
    </row>
    <row r="1008" spans="1:12" x14ac:dyDescent="0.3">
      <c r="A1008" s="3"/>
      <c r="C1008" s="1"/>
      <c r="E1008" s="1"/>
      <c r="J1008" s="3"/>
      <c r="L1008" s="1"/>
    </row>
    <row r="1009" spans="1:12" x14ac:dyDescent="0.3">
      <c r="A1009" s="3"/>
      <c r="C1009" s="1"/>
      <c r="E1009" s="1"/>
      <c r="J1009" s="3"/>
      <c r="L1009" s="1"/>
    </row>
    <row r="1010" spans="1:12" x14ac:dyDescent="0.3">
      <c r="A1010" s="3"/>
      <c r="C1010" s="1"/>
      <c r="E1010" s="1"/>
      <c r="J1010" s="3"/>
      <c r="L1010" s="1"/>
    </row>
    <row r="1011" spans="1:12" x14ac:dyDescent="0.3">
      <c r="A1011" s="3"/>
      <c r="C1011" s="1"/>
      <c r="E1011" s="1"/>
      <c r="J1011" s="3"/>
      <c r="L1011" s="1"/>
    </row>
    <row r="1012" spans="1:12" x14ac:dyDescent="0.3">
      <c r="A1012" s="3"/>
      <c r="C1012" s="1"/>
      <c r="E1012" s="1"/>
      <c r="J1012" s="3"/>
      <c r="L1012" s="1"/>
    </row>
    <row r="1013" spans="1:12" x14ac:dyDescent="0.3">
      <c r="A1013" s="3"/>
      <c r="C1013" s="1"/>
      <c r="E1013" s="1"/>
      <c r="J1013" s="3"/>
      <c r="L1013" s="1"/>
    </row>
    <row r="1014" spans="1:12" x14ac:dyDescent="0.3">
      <c r="A1014" s="3"/>
      <c r="C1014" s="1"/>
      <c r="E1014" s="1"/>
      <c r="J1014" s="3"/>
      <c r="L1014" s="1"/>
    </row>
    <row r="1015" spans="1:12" x14ac:dyDescent="0.3">
      <c r="A1015" s="3"/>
      <c r="C1015" s="1"/>
      <c r="E1015" s="1"/>
      <c r="J1015" s="3"/>
      <c r="L1015" s="1"/>
    </row>
    <row r="1016" spans="1:12" x14ac:dyDescent="0.3">
      <c r="A1016" s="3"/>
      <c r="C1016" s="1"/>
      <c r="E1016" s="1"/>
      <c r="J1016" s="3"/>
      <c r="L1016" s="1"/>
    </row>
    <row r="1017" spans="1:12" x14ac:dyDescent="0.3">
      <c r="A1017" s="3"/>
      <c r="C1017" s="1"/>
      <c r="E1017" s="1"/>
      <c r="J1017" s="3"/>
      <c r="L1017" s="1"/>
    </row>
    <row r="1018" spans="1:12" x14ac:dyDescent="0.3">
      <c r="A1018" s="3"/>
      <c r="C1018" s="1"/>
      <c r="E1018" s="1"/>
      <c r="J1018" s="3"/>
      <c r="L1018" s="1"/>
    </row>
    <row r="1019" spans="1:12" x14ac:dyDescent="0.3">
      <c r="A1019" s="3"/>
      <c r="C1019" s="1"/>
      <c r="E1019" s="1"/>
      <c r="J1019" s="3"/>
      <c r="L1019" s="1"/>
    </row>
    <row r="1020" spans="1:12" x14ac:dyDescent="0.3">
      <c r="A1020" s="3"/>
      <c r="C1020" s="1"/>
      <c r="E1020" s="1"/>
      <c r="J1020" s="3"/>
      <c r="L1020" s="1"/>
    </row>
    <row r="1021" spans="1:12" x14ac:dyDescent="0.3">
      <c r="A1021" s="3"/>
      <c r="C1021" s="1"/>
      <c r="E1021" s="1"/>
      <c r="J1021" s="3"/>
      <c r="L1021" s="1"/>
    </row>
    <row r="1022" spans="1:12" x14ac:dyDescent="0.3">
      <c r="A1022" s="3"/>
      <c r="C1022" s="1"/>
      <c r="E1022" s="1"/>
      <c r="J1022" s="3"/>
      <c r="L1022" s="1"/>
    </row>
    <row r="1023" spans="1:12" x14ac:dyDescent="0.3">
      <c r="A1023" s="3"/>
      <c r="C1023" s="1"/>
      <c r="E1023" s="1"/>
      <c r="J1023" s="3"/>
      <c r="L1023" s="1"/>
    </row>
    <row r="1024" spans="1:12" x14ac:dyDescent="0.3">
      <c r="A1024" s="3"/>
      <c r="C1024" s="1"/>
      <c r="E1024" s="1"/>
      <c r="J1024" s="3"/>
      <c r="L1024" s="1"/>
    </row>
    <row r="1025" spans="1:12" x14ac:dyDescent="0.3">
      <c r="A1025" s="3"/>
      <c r="C1025" s="1"/>
      <c r="E1025" s="1"/>
      <c r="J1025" s="3"/>
      <c r="L1025" s="1"/>
    </row>
    <row r="1026" spans="1:12" x14ac:dyDescent="0.3">
      <c r="A1026" s="3"/>
      <c r="C1026" s="1"/>
      <c r="E1026" s="1"/>
      <c r="J1026" s="3"/>
      <c r="L1026" s="1"/>
    </row>
    <row r="1027" spans="1:12" x14ac:dyDescent="0.3">
      <c r="A1027" s="3"/>
      <c r="C1027" s="1"/>
      <c r="E1027" s="1"/>
      <c r="J1027" s="3"/>
      <c r="L1027" s="1"/>
    </row>
    <row r="1028" spans="1:12" x14ac:dyDescent="0.3">
      <c r="A1028" s="3"/>
      <c r="C1028" s="1"/>
      <c r="E1028" s="1"/>
      <c r="J1028" s="3"/>
      <c r="L1028" s="1"/>
    </row>
    <row r="1029" spans="1:12" x14ac:dyDescent="0.3">
      <c r="A1029" s="3"/>
      <c r="C1029" s="1"/>
      <c r="E1029" s="1"/>
      <c r="J1029" s="3"/>
      <c r="L1029" s="1"/>
    </row>
    <row r="1030" spans="1:12" x14ac:dyDescent="0.3">
      <c r="A1030" s="3"/>
      <c r="C1030" s="1"/>
      <c r="E1030" s="1"/>
      <c r="J1030" s="3"/>
      <c r="L1030" s="1"/>
    </row>
    <row r="1031" spans="1:12" x14ac:dyDescent="0.3">
      <c r="A1031" s="3"/>
      <c r="C1031" s="1"/>
      <c r="E1031" s="1"/>
      <c r="J1031" s="3"/>
      <c r="L1031" s="1"/>
    </row>
    <row r="1032" spans="1:12" x14ac:dyDescent="0.3">
      <c r="A1032" s="3"/>
      <c r="C1032" s="1"/>
      <c r="E1032" s="1"/>
      <c r="J1032" s="3"/>
      <c r="L1032" s="1"/>
    </row>
    <row r="1033" spans="1:12" x14ac:dyDescent="0.3">
      <c r="A1033" s="3"/>
      <c r="C1033" s="1"/>
      <c r="E1033" s="1"/>
      <c r="J1033" s="3"/>
      <c r="L1033" s="1"/>
    </row>
    <row r="1034" spans="1:12" x14ac:dyDescent="0.3">
      <c r="A1034" s="3"/>
      <c r="C1034" s="1"/>
      <c r="E1034" s="1"/>
      <c r="J1034" s="3"/>
      <c r="L1034" s="1"/>
    </row>
    <row r="1035" spans="1:12" x14ac:dyDescent="0.3">
      <c r="A1035" s="3"/>
      <c r="C1035" s="1"/>
      <c r="E1035" s="1"/>
      <c r="J1035" s="3"/>
      <c r="L1035" s="1"/>
    </row>
    <row r="1036" spans="1:12" x14ac:dyDescent="0.3">
      <c r="A1036" s="3"/>
      <c r="C1036" s="1"/>
      <c r="E1036" s="1"/>
      <c r="J1036" s="3"/>
      <c r="L1036" s="1"/>
    </row>
    <row r="1037" spans="1:12" x14ac:dyDescent="0.3">
      <c r="A1037" s="3"/>
      <c r="C1037" s="1"/>
      <c r="E1037" s="1"/>
      <c r="J1037" s="3"/>
      <c r="L1037" s="1"/>
    </row>
    <row r="1038" spans="1:12" x14ac:dyDescent="0.3">
      <c r="A1038" s="3"/>
      <c r="C1038" s="1"/>
      <c r="E1038" s="1"/>
      <c r="J1038" s="3"/>
      <c r="L1038" s="1"/>
    </row>
    <row r="1039" spans="1:12" x14ac:dyDescent="0.3">
      <c r="A1039" s="3"/>
      <c r="C1039" s="1"/>
      <c r="E1039" s="1"/>
      <c r="J1039" s="3"/>
      <c r="L1039" s="1"/>
    </row>
    <row r="1040" spans="1:12" x14ac:dyDescent="0.3">
      <c r="A1040" s="3"/>
      <c r="C1040" s="1"/>
      <c r="E1040" s="1"/>
      <c r="J1040" s="3"/>
      <c r="L1040" s="1"/>
    </row>
    <row r="1041" spans="1:12" x14ac:dyDescent="0.3">
      <c r="A1041" s="3"/>
      <c r="C1041" s="1"/>
      <c r="E1041" s="1"/>
      <c r="J1041" s="3"/>
      <c r="L1041" s="1"/>
    </row>
    <row r="1042" spans="1:12" x14ac:dyDescent="0.3">
      <c r="A1042" s="3"/>
      <c r="C1042" s="1"/>
      <c r="E1042" s="1"/>
      <c r="J1042" s="3"/>
      <c r="L1042" s="1"/>
    </row>
    <row r="1043" spans="1:12" x14ac:dyDescent="0.3">
      <c r="A1043" s="3"/>
      <c r="C1043" s="1"/>
      <c r="E1043" s="1"/>
      <c r="J1043" s="3"/>
      <c r="L1043" s="1"/>
    </row>
    <row r="1044" spans="1:12" x14ac:dyDescent="0.3">
      <c r="A1044" s="3"/>
      <c r="C1044" s="1"/>
      <c r="E1044" s="1"/>
      <c r="J1044" s="3"/>
      <c r="L1044" s="1"/>
    </row>
    <row r="1045" spans="1:12" x14ac:dyDescent="0.3">
      <c r="A1045" s="3"/>
      <c r="C1045" s="1"/>
      <c r="E1045" s="1"/>
      <c r="J1045" s="3"/>
      <c r="L1045" s="1"/>
    </row>
    <row r="1046" spans="1:12" x14ac:dyDescent="0.3">
      <c r="A1046" s="3"/>
      <c r="C1046" s="1"/>
      <c r="E1046" s="1"/>
      <c r="J1046" s="3"/>
      <c r="L1046" s="1"/>
    </row>
    <row r="1047" spans="1:12" x14ac:dyDescent="0.3">
      <c r="A1047" s="3"/>
      <c r="C1047" s="1"/>
      <c r="E1047" s="1"/>
      <c r="J1047" s="3"/>
      <c r="L1047" s="1"/>
    </row>
    <row r="1048" spans="1:12" x14ac:dyDescent="0.3">
      <c r="A1048" s="3"/>
      <c r="C1048" s="1"/>
      <c r="E1048" s="1"/>
      <c r="J1048" s="3"/>
      <c r="L1048" s="1"/>
    </row>
    <row r="1049" spans="1:12" x14ac:dyDescent="0.3">
      <c r="A1049" s="3"/>
      <c r="C1049" s="1"/>
      <c r="E1049" s="1"/>
      <c r="J1049" s="3"/>
      <c r="L1049" s="1"/>
    </row>
    <row r="1050" spans="1:12" x14ac:dyDescent="0.3">
      <c r="A1050" s="3"/>
      <c r="C1050" s="1"/>
      <c r="E1050" s="1"/>
      <c r="J1050" s="3"/>
      <c r="L1050" s="1"/>
    </row>
    <row r="1051" spans="1:12" x14ac:dyDescent="0.3">
      <c r="A1051" s="3"/>
      <c r="C1051" s="1"/>
      <c r="E1051" s="1"/>
      <c r="J1051" s="3"/>
      <c r="L1051" s="1"/>
    </row>
    <row r="1052" spans="1:12" x14ac:dyDescent="0.3">
      <c r="A1052" s="3"/>
      <c r="C1052" s="1"/>
      <c r="E1052" s="1"/>
      <c r="J1052" s="3"/>
      <c r="L1052" s="1"/>
    </row>
    <row r="1053" spans="1:12" x14ac:dyDescent="0.3">
      <c r="A1053" s="3"/>
      <c r="C1053" s="1"/>
      <c r="E1053" s="1"/>
      <c r="J1053" s="3"/>
      <c r="L1053" s="1"/>
    </row>
    <row r="1054" spans="1:12" x14ac:dyDescent="0.3">
      <c r="A1054" s="3"/>
      <c r="C1054" s="1"/>
      <c r="E1054" s="1"/>
      <c r="J1054" s="3"/>
      <c r="L1054" s="1"/>
    </row>
    <row r="1055" spans="1:12" x14ac:dyDescent="0.3">
      <c r="A1055" s="3"/>
      <c r="C1055" s="1"/>
      <c r="E1055" s="1"/>
      <c r="J1055" s="3"/>
      <c r="L1055" s="1"/>
    </row>
    <row r="1056" spans="1:12" x14ac:dyDescent="0.3">
      <c r="A1056" s="3"/>
      <c r="C1056" s="1"/>
      <c r="E1056" s="1"/>
      <c r="J1056" s="3"/>
      <c r="L1056" s="1"/>
    </row>
    <row r="1057" spans="1:12" x14ac:dyDescent="0.3">
      <c r="A1057" s="3"/>
      <c r="C1057" s="1"/>
      <c r="E1057" s="1"/>
      <c r="J1057" s="3"/>
      <c r="L1057" s="1"/>
    </row>
    <row r="1058" spans="1:12" x14ac:dyDescent="0.3">
      <c r="A1058" s="3"/>
      <c r="C1058" s="1"/>
      <c r="E1058" s="1"/>
      <c r="J1058" s="3"/>
      <c r="L1058" s="1"/>
    </row>
    <row r="1059" spans="1:12" x14ac:dyDescent="0.3">
      <c r="A1059" s="3"/>
      <c r="C1059" s="1"/>
      <c r="E1059" s="1"/>
      <c r="J1059" s="3"/>
      <c r="L1059" s="1"/>
    </row>
    <row r="1060" spans="1:12" x14ac:dyDescent="0.3">
      <c r="A1060" s="3"/>
      <c r="C1060" s="1"/>
      <c r="E1060" s="1"/>
      <c r="J1060" s="3"/>
      <c r="L1060" s="1"/>
    </row>
    <row r="1061" spans="1:12" x14ac:dyDescent="0.3">
      <c r="A1061" s="3"/>
      <c r="C1061" s="1"/>
      <c r="E1061" s="1"/>
      <c r="J1061" s="3"/>
      <c r="L1061" s="1"/>
    </row>
    <row r="1062" spans="1:12" x14ac:dyDescent="0.3">
      <c r="A1062" s="3"/>
      <c r="C1062" s="1"/>
      <c r="E1062" s="1"/>
      <c r="J1062" s="3"/>
      <c r="L1062" s="1"/>
    </row>
    <row r="1063" spans="1:12" x14ac:dyDescent="0.3">
      <c r="A1063" s="3"/>
      <c r="C1063" s="1"/>
      <c r="E1063" s="1"/>
      <c r="J1063" s="3"/>
      <c r="L1063" s="1"/>
    </row>
    <row r="1064" spans="1:12" x14ac:dyDescent="0.3">
      <c r="A1064" s="3"/>
      <c r="C1064" s="1"/>
      <c r="E1064" s="1"/>
      <c r="J1064" s="3"/>
      <c r="L1064" s="1"/>
    </row>
    <row r="1065" spans="1:12" x14ac:dyDescent="0.3">
      <c r="A1065" s="3"/>
      <c r="C1065" s="1"/>
      <c r="E1065" s="1"/>
      <c r="J1065" s="3"/>
      <c r="L1065" s="1"/>
    </row>
    <row r="1066" spans="1:12" x14ac:dyDescent="0.3">
      <c r="A1066" s="3"/>
      <c r="C1066" s="1"/>
      <c r="E1066" s="1"/>
      <c r="J1066" s="3"/>
      <c r="L1066" s="1"/>
    </row>
    <row r="1067" spans="1:12" x14ac:dyDescent="0.3">
      <c r="A1067" s="3"/>
      <c r="C1067" s="1"/>
      <c r="E1067" s="1"/>
      <c r="J1067" s="3"/>
      <c r="L1067" s="1"/>
    </row>
    <row r="1068" spans="1:12" x14ac:dyDescent="0.3">
      <c r="A1068" s="3"/>
      <c r="C1068" s="1"/>
      <c r="E1068" s="1"/>
      <c r="J1068" s="3"/>
      <c r="L1068" s="1"/>
    </row>
    <row r="1069" spans="1:12" x14ac:dyDescent="0.3">
      <c r="A1069" s="3"/>
      <c r="C1069" s="1"/>
      <c r="E1069" s="1"/>
      <c r="J1069" s="3"/>
      <c r="L1069" s="1"/>
    </row>
    <row r="1070" spans="1:12" x14ac:dyDescent="0.3">
      <c r="A1070" s="3"/>
      <c r="C1070" s="1"/>
      <c r="E1070" s="1"/>
      <c r="J1070" s="3"/>
      <c r="L1070" s="1"/>
    </row>
    <row r="1071" spans="1:12" x14ac:dyDescent="0.3">
      <c r="A1071" s="3"/>
      <c r="C1071" s="1"/>
      <c r="E1071" s="1"/>
      <c r="J1071" s="3"/>
      <c r="L1071" s="1"/>
    </row>
    <row r="1072" spans="1:12" x14ac:dyDescent="0.3">
      <c r="A1072" s="3"/>
      <c r="C1072" s="1"/>
      <c r="E1072" s="1"/>
      <c r="J1072" s="3"/>
      <c r="L1072" s="1"/>
    </row>
    <row r="1073" spans="1:12" x14ac:dyDescent="0.3">
      <c r="A1073" s="3"/>
      <c r="C1073" s="1"/>
      <c r="E1073" s="1"/>
      <c r="J1073" s="3"/>
      <c r="L1073" s="1"/>
    </row>
    <row r="1074" spans="1:12" x14ac:dyDescent="0.3">
      <c r="A1074" s="3"/>
      <c r="C1074" s="1"/>
      <c r="E1074" s="1"/>
      <c r="J1074" s="3"/>
      <c r="L1074" s="1"/>
    </row>
    <row r="1075" spans="1:12" x14ac:dyDescent="0.3">
      <c r="A1075" s="3"/>
      <c r="C1075" s="1"/>
      <c r="E1075" s="1"/>
      <c r="J1075" s="3"/>
      <c r="L1075" s="1"/>
    </row>
    <row r="1076" spans="1:12" x14ac:dyDescent="0.3">
      <c r="A1076" s="3"/>
      <c r="C1076" s="1"/>
      <c r="E1076" s="1"/>
      <c r="J1076" s="3"/>
      <c r="L1076" s="1"/>
    </row>
    <row r="1077" spans="1:12" x14ac:dyDescent="0.3">
      <c r="A1077" s="3"/>
      <c r="C1077" s="1"/>
      <c r="E1077" s="1"/>
      <c r="J1077" s="3"/>
      <c r="L1077" s="1"/>
    </row>
    <row r="1078" spans="1:12" x14ac:dyDescent="0.3">
      <c r="A1078" s="3"/>
      <c r="C1078" s="1"/>
      <c r="E1078" s="1"/>
      <c r="J1078" s="3"/>
      <c r="L1078" s="1"/>
    </row>
    <row r="1079" spans="1:12" x14ac:dyDescent="0.3">
      <c r="A1079" s="3"/>
      <c r="C1079" s="1"/>
      <c r="E1079" s="1"/>
      <c r="J1079" s="3"/>
      <c r="L1079" s="1"/>
    </row>
    <row r="1080" spans="1:12" x14ac:dyDescent="0.3">
      <c r="A1080" s="3"/>
      <c r="C1080" s="1"/>
      <c r="E1080" s="1"/>
      <c r="J1080" s="3"/>
      <c r="L1080" s="1"/>
    </row>
    <row r="1081" spans="1:12" x14ac:dyDescent="0.3">
      <c r="A1081" s="3"/>
      <c r="C1081" s="1"/>
      <c r="E1081" s="1"/>
      <c r="J1081" s="3"/>
      <c r="L1081" s="1"/>
    </row>
    <row r="1082" spans="1:12" x14ac:dyDescent="0.3">
      <c r="A1082" s="3"/>
      <c r="C1082" s="1"/>
      <c r="E1082" s="1"/>
      <c r="J1082" s="3"/>
      <c r="L1082" s="1"/>
    </row>
    <row r="1083" spans="1:12" x14ac:dyDescent="0.3">
      <c r="A1083" s="3"/>
      <c r="C1083" s="1"/>
      <c r="E1083" s="1"/>
      <c r="J1083" s="3"/>
      <c r="L1083" s="1"/>
    </row>
    <row r="1084" spans="1:12" x14ac:dyDescent="0.3">
      <c r="A1084" s="3"/>
      <c r="C1084" s="1"/>
      <c r="E1084" s="1"/>
      <c r="J1084" s="3"/>
      <c r="L1084" s="1"/>
    </row>
    <row r="1085" spans="1:12" x14ac:dyDescent="0.3">
      <c r="A1085" s="3"/>
      <c r="C1085" s="1"/>
      <c r="E1085" s="1"/>
      <c r="J1085" s="3"/>
      <c r="L1085" s="1"/>
    </row>
    <row r="1086" spans="1:12" x14ac:dyDescent="0.3">
      <c r="A1086" s="3"/>
      <c r="C1086" s="1"/>
      <c r="E1086" s="1"/>
      <c r="J1086" s="3"/>
      <c r="L1086" s="1"/>
    </row>
    <row r="1087" spans="1:12" x14ac:dyDescent="0.3">
      <c r="A1087" s="3"/>
      <c r="C1087" s="1"/>
      <c r="E1087" s="1"/>
      <c r="J1087" s="3"/>
      <c r="L1087" s="1"/>
    </row>
    <row r="1088" spans="1:12" x14ac:dyDescent="0.3">
      <c r="A1088" s="3"/>
      <c r="C1088" s="1"/>
      <c r="E1088" s="1"/>
      <c r="J1088" s="3"/>
      <c r="L1088" s="1"/>
    </row>
    <row r="1089" spans="1:12" x14ac:dyDescent="0.3">
      <c r="A1089" s="3"/>
      <c r="C1089" s="1"/>
      <c r="E1089" s="1"/>
      <c r="J1089" s="3"/>
      <c r="L1089" s="1"/>
    </row>
    <row r="1090" spans="1:12" x14ac:dyDescent="0.3">
      <c r="A1090" s="3"/>
      <c r="C1090" s="1"/>
      <c r="E1090" s="1"/>
      <c r="J1090" s="3"/>
      <c r="L1090" s="1"/>
    </row>
    <row r="1091" spans="1:12" x14ac:dyDescent="0.3">
      <c r="A1091" s="3"/>
      <c r="C1091" s="1"/>
      <c r="E1091" s="1"/>
      <c r="J1091" s="3"/>
      <c r="L1091" s="1"/>
    </row>
    <row r="1092" spans="1:12" x14ac:dyDescent="0.3">
      <c r="A1092" s="3"/>
      <c r="C1092" s="1"/>
      <c r="E1092" s="1"/>
      <c r="J1092" s="3"/>
      <c r="L1092" s="1"/>
    </row>
    <row r="1093" spans="1:12" x14ac:dyDescent="0.3">
      <c r="A1093" s="3"/>
      <c r="C1093" s="1"/>
      <c r="E1093" s="1"/>
      <c r="J1093" s="3"/>
      <c r="L1093" s="1"/>
    </row>
    <row r="1094" spans="1:12" x14ac:dyDescent="0.3">
      <c r="A1094" s="3"/>
      <c r="C1094" s="1"/>
      <c r="E1094" s="1"/>
      <c r="J1094" s="3"/>
      <c r="L1094" s="1"/>
    </row>
    <row r="1095" spans="1:12" x14ac:dyDescent="0.3">
      <c r="A1095" s="3"/>
      <c r="C1095" s="1"/>
      <c r="E1095" s="1"/>
      <c r="J1095" s="3"/>
      <c r="L1095" s="1"/>
    </row>
    <row r="1096" spans="1:12" x14ac:dyDescent="0.3">
      <c r="A1096" s="3"/>
      <c r="C1096" s="1"/>
      <c r="E1096" s="1"/>
      <c r="J1096" s="3"/>
      <c r="L1096" s="1"/>
    </row>
    <row r="1097" spans="1:12" x14ac:dyDescent="0.3">
      <c r="A1097" s="3"/>
      <c r="C1097" s="1"/>
      <c r="E1097" s="1"/>
      <c r="J1097" s="3"/>
      <c r="L1097" s="1"/>
    </row>
    <row r="1098" spans="1:12" x14ac:dyDescent="0.3">
      <c r="A1098" s="3"/>
      <c r="C1098" s="1"/>
      <c r="E1098" s="1"/>
      <c r="J1098" s="3"/>
      <c r="L1098" s="1"/>
    </row>
    <row r="1099" spans="1:12" x14ac:dyDescent="0.3">
      <c r="A1099" s="3"/>
      <c r="C1099" s="1"/>
      <c r="E1099" s="1"/>
      <c r="J1099" s="3"/>
      <c r="L1099" s="1"/>
    </row>
    <row r="1100" spans="1:12" x14ac:dyDescent="0.3">
      <c r="A1100" s="3"/>
      <c r="C1100" s="1"/>
      <c r="E1100" s="1"/>
      <c r="J1100" s="3"/>
      <c r="L1100" s="1"/>
    </row>
    <row r="1101" spans="1:12" x14ac:dyDescent="0.3">
      <c r="A1101" s="3"/>
      <c r="C1101" s="1"/>
      <c r="E1101" s="1"/>
      <c r="J1101" s="3"/>
      <c r="L1101" s="1"/>
    </row>
    <row r="1102" spans="1:12" x14ac:dyDescent="0.3">
      <c r="A1102" s="3"/>
      <c r="C1102" s="1"/>
      <c r="E1102" s="1"/>
      <c r="J1102" s="3"/>
      <c r="L1102" s="1"/>
    </row>
    <row r="1103" spans="1:12" x14ac:dyDescent="0.3">
      <c r="A1103" s="3"/>
      <c r="C1103" s="1"/>
      <c r="E1103" s="1"/>
      <c r="J1103" s="3"/>
      <c r="L1103" s="1"/>
    </row>
    <row r="1104" spans="1:12" x14ac:dyDescent="0.3">
      <c r="A1104" s="3"/>
      <c r="C1104" s="1"/>
      <c r="E1104" s="1"/>
      <c r="J1104" s="3"/>
      <c r="L1104" s="1"/>
    </row>
    <row r="1105" spans="1:12" x14ac:dyDescent="0.3">
      <c r="A1105" s="3"/>
      <c r="C1105" s="1"/>
      <c r="E1105" s="1"/>
      <c r="J1105" s="3"/>
      <c r="L1105" s="1"/>
    </row>
    <row r="1106" spans="1:12" x14ac:dyDescent="0.3">
      <c r="A1106" s="3"/>
      <c r="C1106" s="1"/>
      <c r="E1106" s="1"/>
      <c r="J1106" s="3"/>
      <c r="L1106" s="1"/>
    </row>
    <row r="1107" spans="1:12" x14ac:dyDescent="0.3">
      <c r="A1107" s="3"/>
      <c r="C1107" s="1"/>
      <c r="E1107" s="1"/>
      <c r="J1107" s="3"/>
      <c r="L1107" s="1"/>
    </row>
    <row r="1108" spans="1:12" x14ac:dyDescent="0.3">
      <c r="A1108" s="3"/>
      <c r="C1108" s="1"/>
      <c r="E1108" s="1"/>
      <c r="J1108" s="3"/>
      <c r="L1108" s="1"/>
    </row>
    <row r="1109" spans="1:12" x14ac:dyDescent="0.3">
      <c r="A1109" s="3"/>
      <c r="C1109" s="1"/>
      <c r="E1109" s="1"/>
      <c r="J1109" s="3"/>
      <c r="L1109" s="1"/>
    </row>
    <row r="1110" spans="1:12" x14ac:dyDescent="0.3">
      <c r="A1110" s="3"/>
      <c r="C1110" s="1"/>
      <c r="E1110" s="1"/>
      <c r="J1110" s="3"/>
      <c r="L1110" s="1"/>
    </row>
    <row r="1111" spans="1:12" x14ac:dyDescent="0.3">
      <c r="A1111" s="3"/>
      <c r="C1111" s="1"/>
      <c r="E1111" s="1"/>
      <c r="J1111" s="3"/>
      <c r="L1111" s="1"/>
    </row>
    <row r="1112" spans="1:12" x14ac:dyDescent="0.3">
      <c r="A1112" s="3"/>
      <c r="C1112" s="1"/>
      <c r="E1112" s="1"/>
      <c r="J1112" s="3"/>
      <c r="L1112" s="1"/>
    </row>
    <row r="1113" spans="1:12" x14ac:dyDescent="0.3">
      <c r="A1113" s="3"/>
      <c r="C1113" s="1"/>
      <c r="E1113" s="1"/>
      <c r="J1113" s="3"/>
      <c r="L1113" s="1"/>
    </row>
    <row r="1114" spans="1:12" x14ac:dyDescent="0.3">
      <c r="A1114" s="3"/>
      <c r="C1114" s="1"/>
      <c r="E1114" s="1"/>
      <c r="J1114" s="3"/>
      <c r="L1114" s="1"/>
    </row>
    <row r="1115" spans="1:12" x14ac:dyDescent="0.3">
      <c r="A1115" s="3"/>
      <c r="C1115" s="1"/>
      <c r="E1115" s="1"/>
      <c r="J1115" s="3"/>
      <c r="L1115" s="1"/>
    </row>
    <row r="1116" spans="1:12" x14ac:dyDescent="0.3">
      <c r="A1116" s="3"/>
      <c r="C1116" s="1"/>
      <c r="E1116" s="1"/>
      <c r="J1116" s="3"/>
      <c r="L1116" s="1"/>
    </row>
    <row r="1117" spans="1:12" x14ac:dyDescent="0.3">
      <c r="A1117" s="3"/>
      <c r="C1117" s="1"/>
      <c r="E1117" s="1"/>
      <c r="J1117" s="3"/>
      <c r="L1117" s="1"/>
    </row>
    <row r="1118" spans="1:12" x14ac:dyDescent="0.3">
      <c r="A1118" s="3"/>
      <c r="C1118" s="1"/>
      <c r="E1118" s="1"/>
      <c r="J1118" s="3"/>
      <c r="L1118" s="1"/>
    </row>
    <row r="1119" spans="1:12" x14ac:dyDescent="0.3">
      <c r="A1119" s="3"/>
      <c r="C1119" s="1"/>
      <c r="E1119" s="1"/>
      <c r="J1119" s="3"/>
      <c r="L1119" s="1"/>
    </row>
    <row r="1120" spans="1:12" x14ac:dyDescent="0.3">
      <c r="A1120" s="3"/>
      <c r="C1120" s="1"/>
      <c r="E1120" s="1"/>
      <c r="J1120" s="3"/>
      <c r="L1120" s="1"/>
    </row>
    <row r="1121" spans="1:12" x14ac:dyDescent="0.3">
      <c r="A1121" s="3"/>
      <c r="C1121" s="1"/>
      <c r="E1121" s="1"/>
      <c r="J1121" s="3"/>
      <c r="L1121" s="1"/>
    </row>
    <row r="1122" spans="1:12" x14ac:dyDescent="0.3">
      <c r="A1122" s="3"/>
      <c r="C1122" s="1"/>
      <c r="E1122" s="1"/>
      <c r="J1122" s="3"/>
      <c r="L1122" s="1"/>
    </row>
    <row r="1123" spans="1:12" x14ac:dyDescent="0.3">
      <c r="A1123" s="3"/>
      <c r="C1123" s="1"/>
      <c r="E1123" s="1"/>
      <c r="J1123" s="3"/>
      <c r="L1123" s="1"/>
    </row>
    <row r="1124" spans="1:12" x14ac:dyDescent="0.3">
      <c r="A1124" s="3"/>
      <c r="C1124" s="1"/>
      <c r="E1124" s="1"/>
      <c r="J1124" s="3"/>
      <c r="L1124" s="1"/>
    </row>
    <row r="1125" spans="1:12" x14ac:dyDescent="0.3">
      <c r="A1125" s="3"/>
      <c r="C1125" s="1"/>
      <c r="E1125" s="1"/>
      <c r="J1125" s="3"/>
      <c r="L1125" s="1"/>
    </row>
    <row r="1126" spans="1:12" x14ac:dyDescent="0.3">
      <c r="A1126" s="3"/>
      <c r="C1126" s="1"/>
      <c r="E1126" s="1"/>
      <c r="J1126" s="3"/>
      <c r="L1126" s="1"/>
    </row>
    <row r="1127" spans="1:12" x14ac:dyDescent="0.3">
      <c r="A1127" s="3"/>
      <c r="C1127" s="1"/>
      <c r="E1127" s="1"/>
      <c r="J1127" s="3"/>
      <c r="L1127" s="1"/>
    </row>
    <row r="1128" spans="1:12" x14ac:dyDescent="0.3">
      <c r="A1128" s="3"/>
      <c r="C1128" s="1"/>
      <c r="E1128" s="1"/>
      <c r="J1128" s="3"/>
      <c r="L1128" s="1"/>
    </row>
    <row r="1129" spans="1:12" x14ac:dyDescent="0.3">
      <c r="A1129" s="3"/>
      <c r="C1129" s="1"/>
      <c r="E1129" s="1"/>
      <c r="J1129" s="3"/>
      <c r="L1129" s="1"/>
    </row>
    <row r="1130" spans="1:12" x14ac:dyDescent="0.3">
      <c r="A1130" s="3"/>
      <c r="C1130" s="1"/>
      <c r="E1130" s="1"/>
      <c r="J1130" s="3"/>
      <c r="L1130" s="1"/>
    </row>
    <row r="1131" spans="1:12" x14ac:dyDescent="0.3">
      <c r="A1131" s="3"/>
      <c r="C1131" s="1"/>
      <c r="E1131" s="1"/>
      <c r="J1131" s="3"/>
      <c r="L1131" s="1"/>
    </row>
    <row r="1132" spans="1:12" x14ac:dyDescent="0.3">
      <c r="A1132" s="3"/>
      <c r="C1132" s="1"/>
      <c r="E1132" s="1"/>
      <c r="J1132" s="3"/>
      <c r="L1132" s="1"/>
    </row>
    <row r="1133" spans="1:12" x14ac:dyDescent="0.3">
      <c r="A1133" s="3"/>
      <c r="C1133" s="1"/>
      <c r="E1133" s="1"/>
      <c r="J1133" s="3"/>
      <c r="L1133" s="1"/>
    </row>
    <row r="1134" spans="1:12" x14ac:dyDescent="0.3">
      <c r="A1134" s="3"/>
      <c r="C1134" s="1"/>
      <c r="E1134" s="1"/>
      <c r="J1134" s="3"/>
      <c r="L1134" s="1"/>
    </row>
    <row r="1135" spans="1:12" x14ac:dyDescent="0.3">
      <c r="A1135" s="3"/>
      <c r="C1135" s="1"/>
      <c r="E1135" s="1"/>
      <c r="J1135" s="3"/>
      <c r="L1135" s="1"/>
    </row>
    <row r="1136" spans="1:12" x14ac:dyDescent="0.3">
      <c r="A1136" s="3"/>
      <c r="C1136" s="1"/>
      <c r="E1136" s="1"/>
      <c r="J1136" s="3"/>
      <c r="L1136" s="1"/>
    </row>
    <row r="1137" spans="1:12" x14ac:dyDescent="0.3">
      <c r="A1137" s="3"/>
      <c r="C1137" s="1"/>
      <c r="E1137" s="1"/>
      <c r="J1137" s="3"/>
      <c r="L1137" s="1"/>
    </row>
    <row r="1138" spans="1:12" x14ac:dyDescent="0.3">
      <c r="A1138" s="3"/>
      <c r="C1138" s="1"/>
      <c r="E1138" s="1"/>
      <c r="J1138" s="3"/>
      <c r="L1138" s="1"/>
    </row>
    <row r="1139" spans="1:12" x14ac:dyDescent="0.3">
      <c r="A1139" s="3"/>
      <c r="C1139" s="1"/>
      <c r="E1139" s="1"/>
      <c r="J1139" s="3"/>
      <c r="L1139" s="1"/>
    </row>
    <row r="1140" spans="1:12" x14ac:dyDescent="0.3">
      <c r="A1140" s="3"/>
      <c r="C1140" s="1"/>
      <c r="E1140" s="1"/>
      <c r="J1140" s="3"/>
      <c r="L1140" s="1"/>
    </row>
    <row r="1141" spans="1:12" x14ac:dyDescent="0.3">
      <c r="A1141" s="3"/>
      <c r="C1141" s="1"/>
      <c r="E1141" s="1"/>
      <c r="J1141" s="3"/>
      <c r="L1141" s="1"/>
    </row>
    <row r="1142" spans="1:12" x14ac:dyDescent="0.3">
      <c r="A1142" s="3"/>
      <c r="C1142" s="1"/>
      <c r="E1142" s="1"/>
      <c r="J1142" s="3"/>
      <c r="L1142" s="1"/>
    </row>
    <row r="1143" spans="1:12" x14ac:dyDescent="0.3">
      <c r="A1143" s="3"/>
      <c r="C1143" s="1"/>
      <c r="E1143" s="1"/>
      <c r="J1143" s="3"/>
      <c r="L1143" s="1"/>
    </row>
    <row r="1144" spans="1:12" x14ac:dyDescent="0.3">
      <c r="A1144" s="3"/>
      <c r="C1144" s="1"/>
      <c r="E1144" s="1"/>
      <c r="J1144" s="3"/>
      <c r="L1144" s="1"/>
    </row>
    <row r="1145" spans="1:12" x14ac:dyDescent="0.3">
      <c r="A1145" s="3"/>
      <c r="C1145" s="1"/>
      <c r="E1145" s="1"/>
      <c r="J1145" s="3"/>
      <c r="L1145" s="1"/>
    </row>
    <row r="1146" spans="1:12" x14ac:dyDescent="0.3">
      <c r="A1146" s="3"/>
      <c r="C1146" s="1"/>
      <c r="E1146" s="1"/>
      <c r="J1146" s="3"/>
      <c r="L1146" s="1"/>
    </row>
    <row r="1147" spans="1:12" x14ac:dyDescent="0.3">
      <c r="A1147" s="3"/>
      <c r="C1147" s="1"/>
      <c r="E1147" s="1"/>
      <c r="J1147" s="3"/>
      <c r="L1147" s="1"/>
    </row>
    <row r="1148" spans="1:12" x14ac:dyDescent="0.3">
      <c r="A1148" s="3"/>
      <c r="C1148" s="1"/>
      <c r="E1148" s="1"/>
      <c r="J1148" s="3"/>
      <c r="L1148" s="1"/>
    </row>
    <row r="1149" spans="1:12" x14ac:dyDescent="0.3">
      <c r="A1149" s="3"/>
      <c r="C1149" s="1"/>
      <c r="E1149" s="1"/>
      <c r="J1149" s="3"/>
      <c r="L1149" s="1"/>
    </row>
    <row r="1150" spans="1:12" x14ac:dyDescent="0.3">
      <c r="A1150" s="3"/>
      <c r="C1150" s="1"/>
      <c r="E1150" s="1"/>
      <c r="J1150" s="3"/>
      <c r="L1150" s="1"/>
    </row>
    <row r="1151" spans="1:12" x14ac:dyDescent="0.3">
      <c r="A1151" s="3"/>
      <c r="C1151" s="1"/>
      <c r="E1151" s="1"/>
      <c r="J1151" s="3"/>
      <c r="L1151" s="1"/>
    </row>
    <row r="1152" spans="1:12" x14ac:dyDescent="0.3">
      <c r="A1152" s="3"/>
      <c r="C1152" s="1"/>
      <c r="E1152" s="1"/>
      <c r="J1152" s="3"/>
      <c r="L1152" s="1"/>
    </row>
    <row r="1153" spans="1:12" x14ac:dyDescent="0.3">
      <c r="A1153" s="3"/>
      <c r="C1153" s="1"/>
      <c r="E1153" s="1"/>
      <c r="J1153" s="3"/>
      <c r="L1153" s="1"/>
    </row>
    <row r="1154" spans="1:12" x14ac:dyDescent="0.3">
      <c r="A1154" s="3"/>
      <c r="C1154" s="1"/>
      <c r="E1154" s="1"/>
      <c r="J1154" s="3"/>
      <c r="L1154" s="1"/>
    </row>
    <row r="1155" spans="1:12" x14ac:dyDescent="0.3">
      <c r="A1155" s="3"/>
      <c r="C1155" s="1"/>
      <c r="E1155" s="1"/>
      <c r="J1155" s="3"/>
      <c r="L1155" s="1"/>
    </row>
    <row r="1156" spans="1:12" x14ac:dyDescent="0.3">
      <c r="A1156" s="3"/>
      <c r="C1156" s="1"/>
      <c r="E1156" s="1"/>
      <c r="J1156" s="3"/>
      <c r="L1156" s="1"/>
    </row>
    <row r="1157" spans="1:12" x14ac:dyDescent="0.3">
      <c r="A1157" s="3"/>
      <c r="C1157" s="1"/>
      <c r="E1157" s="1"/>
      <c r="J1157" s="3"/>
      <c r="L1157" s="1"/>
    </row>
    <row r="1158" spans="1:12" x14ac:dyDescent="0.3">
      <c r="A1158" s="3"/>
      <c r="C1158" s="1"/>
      <c r="E1158" s="1"/>
      <c r="J1158" s="3"/>
      <c r="L1158" s="1"/>
    </row>
    <row r="1159" spans="1:12" x14ac:dyDescent="0.3">
      <c r="A1159" s="3"/>
      <c r="C1159" s="1"/>
      <c r="E1159" s="1"/>
      <c r="J1159" s="3"/>
      <c r="L1159" s="1"/>
    </row>
    <row r="1160" spans="1:12" x14ac:dyDescent="0.3">
      <c r="A1160" s="3"/>
      <c r="C1160" s="1"/>
      <c r="E1160" s="1"/>
      <c r="J1160" s="3"/>
      <c r="L1160" s="1"/>
    </row>
    <row r="1161" spans="1:12" x14ac:dyDescent="0.3">
      <c r="A1161" s="3"/>
      <c r="C1161" s="1"/>
      <c r="E1161" s="1"/>
      <c r="J1161" s="3"/>
      <c r="L1161" s="1"/>
    </row>
    <row r="1162" spans="1:12" x14ac:dyDescent="0.3">
      <c r="A1162" s="3"/>
      <c r="C1162" s="1"/>
      <c r="E1162" s="1"/>
      <c r="J1162" s="3"/>
      <c r="L1162" s="1"/>
    </row>
    <row r="1163" spans="1:12" x14ac:dyDescent="0.3">
      <c r="A1163" s="3"/>
      <c r="C1163" s="1"/>
      <c r="E1163" s="1"/>
      <c r="J1163" s="3"/>
      <c r="L1163" s="1"/>
    </row>
    <row r="1164" spans="1:12" x14ac:dyDescent="0.3">
      <c r="A1164" s="3"/>
      <c r="C1164" s="1"/>
      <c r="E1164" s="1"/>
      <c r="J1164" s="3"/>
      <c r="L1164" s="1"/>
    </row>
    <row r="1165" spans="1:12" x14ac:dyDescent="0.3">
      <c r="A1165" s="3"/>
      <c r="C1165" s="1"/>
      <c r="E1165" s="1"/>
      <c r="J1165" s="3"/>
      <c r="L1165" s="1"/>
    </row>
    <row r="1166" spans="1:12" x14ac:dyDescent="0.3">
      <c r="A1166" s="3"/>
      <c r="C1166" s="1"/>
      <c r="E1166" s="1"/>
      <c r="J1166" s="3"/>
      <c r="L1166" s="1"/>
    </row>
    <row r="1167" spans="1:12" x14ac:dyDescent="0.3">
      <c r="A1167" s="3"/>
      <c r="C1167" s="1"/>
      <c r="E1167" s="1"/>
      <c r="J1167" s="3"/>
      <c r="L1167" s="1"/>
    </row>
    <row r="1168" spans="1:12" x14ac:dyDescent="0.3">
      <c r="A1168" s="3"/>
      <c r="C1168" s="1"/>
      <c r="E1168" s="1"/>
      <c r="J1168" s="3"/>
      <c r="L1168" s="1"/>
    </row>
    <row r="1169" spans="1:12" x14ac:dyDescent="0.3">
      <c r="A1169" s="3"/>
      <c r="C1169" s="1"/>
      <c r="E1169" s="1"/>
      <c r="J1169" s="3"/>
      <c r="L1169" s="1"/>
    </row>
    <row r="1170" spans="1:12" x14ac:dyDescent="0.3">
      <c r="A1170" s="3"/>
      <c r="C1170" s="1"/>
      <c r="E1170" s="1"/>
      <c r="J1170" s="3"/>
      <c r="L1170" s="1"/>
    </row>
    <row r="1171" spans="1:12" x14ac:dyDescent="0.3">
      <c r="A1171" s="3"/>
      <c r="C1171" s="1"/>
      <c r="E1171" s="1"/>
      <c r="J1171" s="3"/>
      <c r="L1171" s="1"/>
    </row>
    <row r="1172" spans="1:12" x14ac:dyDescent="0.3">
      <c r="A1172" s="3"/>
      <c r="C1172" s="1"/>
      <c r="E1172" s="1"/>
      <c r="J1172" s="3"/>
      <c r="L1172" s="1"/>
    </row>
    <row r="1173" spans="1:12" x14ac:dyDescent="0.3">
      <c r="A1173" s="3"/>
      <c r="C1173" s="1"/>
      <c r="E1173" s="1"/>
      <c r="J1173" s="3"/>
      <c r="L1173" s="1"/>
    </row>
    <row r="1174" spans="1:12" x14ac:dyDescent="0.3">
      <c r="A1174" s="3"/>
      <c r="C1174" s="1"/>
      <c r="E1174" s="1"/>
      <c r="J1174" s="3"/>
      <c r="L1174" s="1"/>
    </row>
    <row r="1175" spans="1:12" x14ac:dyDescent="0.3">
      <c r="A1175" s="3"/>
      <c r="C1175" s="1"/>
      <c r="E1175" s="1"/>
      <c r="J1175" s="3"/>
      <c r="L1175" s="1"/>
    </row>
    <row r="1176" spans="1:12" x14ac:dyDescent="0.3">
      <c r="A1176" s="3"/>
      <c r="C1176" s="1"/>
      <c r="E1176" s="1"/>
      <c r="J1176" s="3"/>
      <c r="L1176" s="1"/>
    </row>
    <row r="1177" spans="1:12" x14ac:dyDescent="0.3">
      <c r="A1177" s="3"/>
      <c r="C1177" s="1"/>
      <c r="E1177" s="1"/>
      <c r="J1177" s="3"/>
      <c r="L1177" s="1"/>
    </row>
    <row r="1178" spans="1:12" x14ac:dyDescent="0.3">
      <c r="A1178" s="3"/>
      <c r="C1178" s="1"/>
      <c r="E1178" s="1"/>
      <c r="J1178" s="3"/>
      <c r="L1178" s="1"/>
    </row>
    <row r="1179" spans="1:12" x14ac:dyDescent="0.3">
      <c r="A1179" s="3"/>
      <c r="C1179" s="1"/>
      <c r="E1179" s="1"/>
      <c r="J1179" s="3"/>
      <c r="L1179" s="1"/>
    </row>
    <row r="1180" spans="1:12" x14ac:dyDescent="0.3">
      <c r="A1180" s="3"/>
      <c r="C1180" s="1"/>
      <c r="E1180" s="1"/>
      <c r="J1180" s="3"/>
      <c r="L1180" s="1"/>
    </row>
    <row r="1181" spans="1:12" x14ac:dyDescent="0.3">
      <c r="A1181" s="3"/>
      <c r="C1181" s="1"/>
      <c r="E1181" s="1"/>
      <c r="J1181" s="3"/>
      <c r="L1181" s="1"/>
    </row>
    <row r="1182" spans="1:12" x14ac:dyDescent="0.3">
      <c r="A1182" s="3"/>
      <c r="C1182" s="1"/>
      <c r="E1182" s="1"/>
      <c r="J1182" s="3"/>
      <c r="L1182" s="1"/>
    </row>
    <row r="1183" spans="1:12" x14ac:dyDescent="0.3">
      <c r="A1183" s="3"/>
      <c r="C1183" s="1"/>
      <c r="E1183" s="1"/>
      <c r="J1183" s="3"/>
      <c r="L1183" s="1"/>
    </row>
    <row r="1184" spans="1:12" x14ac:dyDescent="0.3">
      <c r="A1184" s="3"/>
      <c r="C1184" s="1"/>
      <c r="E1184" s="1"/>
      <c r="J1184" s="3"/>
      <c r="L1184" s="1"/>
    </row>
    <row r="1185" spans="1:12" x14ac:dyDescent="0.3">
      <c r="A1185" s="3"/>
      <c r="C1185" s="1"/>
      <c r="E1185" s="1"/>
      <c r="J1185" s="3"/>
      <c r="L1185" s="1"/>
    </row>
    <row r="1186" spans="1:12" x14ac:dyDescent="0.3">
      <c r="A1186" s="3"/>
      <c r="C1186" s="1"/>
      <c r="E1186" s="1"/>
      <c r="J1186" s="3"/>
      <c r="L1186" s="1"/>
    </row>
    <row r="1187" spans="1:12" x14ac:dyDescent="0.3">
      <c r="A1187" s="3"/>
      <c r="C1187" s="1"/>
      <c r="E1187" s="1"/>
      <c r="J1187" s="3"/>
      <c r="L1187" s="1"/>
    </row>
    <row r="1188" spans="1:12" x14ac:dyDescent="0.3">
      <c r="A1188" s="3"/>
      <c r="C1188" s="1"/>
      <c r="E1188" s="1"/>
      <c r="J1188" s="3"/>
      <c r="L1188" s="1"/>
    </row>
    <row r="1189" spans="1:12" x14ac:dyDescent="0.3">
      <c r="A1189" s="3"/>
      <c r="C1189" s="1"/>
      <c r="E1189" s="1"/>
      <c r="J1189" s="3"/>
      <c r="L1189" s="1"/>
    </row>
    <row r="1190" spans="1:12" x14ac:dyDescent="0.3">
      <c r="A1190" s="3"/>
      <c r="C1190" s="1"/>
      <c r="E1190" s="1"/>
      <c r="J1190" s="3"/>
      <c r="L1190" s="1"/>
    </row>
    <row r="1191" spans="1:12" x14ac:dyDescent="0.3">
      <c r="A1191" s="3"/>
      <c r="C1191" s="1"/>
      <c r="E1191" s="1"/>
      <c r="J1191" s="3"/>
      <c r="L1191" s="1"/>
    </row>
    <row r="1192" spans="1:12" x14ac:dyDescent="0.3">
      <c r="A1192" s="3"/>
      <c r="C1192" s="1"/>
      <c r="E1192" s="1"/>
      <c r="J1192" s="3"/>
      <c r="L1192" s="1"/>
    </row>
    <row r="1193" spans="1:12" x14ac:dyDescent="0.3">
      <c r="A1193" s="3"/>
      <c r="C1193" s="1"/>
      <c r="E1193" s="1"/>
      <c r="J1193" s="3"/>
      <c r="L1193" s="1"/>
    </row>
    <row r="1194" spans="1:12" x14ac:dyDescent="0.3">
      <c r="A1194" s="3"/>
      <c r="C1194" s="1"/>
      <c r="E1194" s="1"/>
      <c r="J1194" s="3"/>
      <c r="L1194" s="1"/>
    </row>
    <row r="1195" spans="1:12" x14ac:dyDescent="0.3">
      <c r="A1195" s="3"/>
      <c r="C1195" s="1"/>
      <c r="E1195" s="1"/>
      <c r="J1195" s="3"/>
      <c r="L1195" s="1"/>
    </row>
    <row r="1196" spans="1:12" x14ac:dyDescent="0.3">
      <c r="A1196" s="3"/>
      <c r="C1196" s="1"/>
      <c r="E1196" s="1"/>
      <c r="J1196" s="3"/>
      <c r="L1196" s="1"/>
    </row>
    <row r="1197" spans="1:12" x14ac:dyDescent="0.3">
      <c r="A1197" s="3"/>
      <c r="C1197" s="1"/>
      <c r="E1197" s="1"/>
      <c r="J1197" s="3"/>
      <c r="L1197" s="1"/>
    </row>
    <row r="1198" spans="1:12" x14ac:dyDescent="0.3">
      <c r="A1198" s="3"/>
      <c r="C1198" s="1"/>
      <c r="E1198" s="1"/>
      <c r="J1198" s="3"/>
      <c r="L1198" s="1"/>
    </row>
    <row r="1199" spans="1:12" x14ac:dyDescent="0.3">
      <c r="A1199" s="3"/>
      <c r="C1199" s="1"/>
      <c r="E1199" s="1"/>
      <c r="J1199" s="3"/>
      <c r="L1199" s="1"/>
    </row>
    <row r="1200" spans="1:12" x14ac:dyDescent="0.3">
      <c r="A1200" s="3"/>
      <c r="C1200" s="1"/>
      <c r="E1200" s="1"/>
      <c r="J1200" s="3"/>
      <c r="L1200" s="1"/>
    </row>
    <row r="1201" spans="1:12" x14ac:dyDescent="0.3">
      <c r="A1201" s="3"/>
      <c r="C1201" s="1"/>
      <c r="E1201" s="1"/>
      <c r="J1201" s="3"/>
      <c r="L1201" s="1"/>
    </row>
    <row r="1202" spans="1:12" x14ac:dyDescent="0.3">
      <c r="A1202" s="3"/>
      <c r="C1202" s="1"/>
      <c r="E1202" s="1"/>
      <c r="J1202" s="3"/>
      <c r="L1202" s="1"/>
    </row>
    <row r="1203" spans="1:12" x14ac:dyDescent="0.3">
      <c r="A1203" s="3"/>
      <c r="C1203" s="1"/>
      <c r="E1203" s="1"/>
      <c r="J1203" s="3"/>
      <c r="L1203" s="1"/>
    </row>
    <row r="1204" spans="1:12" x14ac:dyDescent="0.3">
      <c r="A1204" s="3"/>
      <c r="C1204" s="1"/>
      <c r="E1204" s="1"/>
      <c r="J1204" s="3"/>
      <c r="L1204" s="1"/>
    </row>
    <row r="1205" spans="1:12" x14ac:dyDescent="0.3">
      <c r="A1205" s="3"/>
      <c r="C1205" s="1"/>
      <c r="E1205" s="1"/>
      <c r="J1205" s="3"/>
      <c r="L1205" s="1"/>
    </row>
    <row r="1206" spans="1:12" x14ac:dyDescent="0.3">
      <c r="A1206" s="3"/>
      <c r="C1206" s="1"/>
      <c r="E1206" s="1"/>
      <c r="J1206" s="3"/>
      <c r="L1206" s="1"/>
    </row>
    <row r="1207" spans="1:12" x14ac:dyDescent="0.3">
      <c r="A1207" s="3"/>
      <c r="C1207" s="1"/>
      <c r="E1207" s="1"/>
      <c r="J1207" s="3"/>
      <c r="L1207" s="1"/>
    </row>
    <row r="1208" spans="1:12" x14ac:dyDescent="0.3">
      <c r="A1208" s="3"/>
      <c r="C1208" s="1"/>
      <c r="E1208" s="1"/>
      <c r="J1208" s="3"/>
      <c r="L1208" s="1"/>
    </row>
    <row r="1209" spans="1:12" x14ac:dyDescent="0.3">
      <c r="A1209" s="3"/>
      <c r="C1209" s="1"/>
      <c r="E1209" s="1"/>
      <c r="J1209" s="3"/>
      <c r="L1209" s="1"/>
    </row>
    <row r="1210" spans="1:12" x14ac:dyDescent="0.3">
      <c r="A1210" s="3"/>
      <c r="C1210" s="1"/>
      <c r="E1210" s="1"/>
      <c r="J1210" s="3"/>
      <c r="L1210" s="1"/>
    </row>
    <row r="1211" spans="1:12" x14ac:dyDescent="0.3">
      <c r="A1211" s="3"/>
      <c r="C1211" s="1"/>
      <c r="E1211" s="1"/>
      <c r="J1211" s="3"/>
      <c r="L1211" s="1"/>
    </row>
    <row r="1212" spans="1:12" x14ac:dyDescent="0.3">
      <c r="A1212" s="3"/>
      <c r="C1212" s="1"/>
      <c r="E1212" s="1"/>
      <c r="J1212" s="3"/>
      <c r="L1212" s="1"/>
    </row>
    <row r="1213" spans="1:12" x14ac:dyDescent="0.3">
      <c r="A1213" s="3"/>
      <c r="C1213" s="1"/>
      <c r="E1213" s="1"/>
      <c r="J1213" s="3"/>
      <c r="L1213" s="1"/>
    </row>
    <row r="1214" spans="1:12" x14ac:dyDescent="0.3">
      <c r="A1214" s="3"/>
      <c r="C1214" s="1"/>
      <c r="E1214" s="1"/>
      <c r="J1214" s="3"/>
      <c r="L1214" s="1"/>
    </row>
    <row r="1215" spans="1:12" x14ac:dyDescent="0.3">
      <c r="A1215" s="3"/>
      <c r="C1215" s="1"/>
      <c r="E1215" s="1"/>
      <c r="J1215" s="3"/>
      <c r="L1215" s="1"/>
    </row>
    <row r="1216" spans="1:12" x14ac:dyDescent="0.3">
      <c r="A1216" s="3"/>
      <c r="C1216" s="1"/>
      <c r="E1216" s="1"/>
      <c r="J1216" s="3"/>
      <c r="L1216" s="1"/>
    </row>
    <row r="1217" spans="1:12" x14ac:dyDescent="0.3">
      <c r="A1217" s="3"/>
      <c r="C1217" s="1"/>
      <c r="E1217" s="1"/>
      <c r="J1217" s="3"/>
      <c r="L1217" s="1"/>
    </row>
    <row r="1218" spans="1:12" x14ac:dyDescent="0.3">
      <c r="A1218" s="3"/>
      <c r="C1218" s="1"/>
      <c r="E1218" s="1"/>
      <c r="J1218" s="3"/>
      <c r="L1218" s="1"/>
    </row>
    <row r="1219" spans="1:12" x14ac:dyDescent="0.3">
      <c r="A1219" s="3"/>
      <c r="C1219" s="1"/>
      <c r="E1219" s="1"/>
      <c r="J1219" s="3"/>
      <c r="L1219" s="1"/>
    </row>
    <row r="1220" spans="1:12" x14ac:dyDescent="0.3">
      <c r="A1220" s="3"/>
      <c r="C1220" s="1"/>
      <c r="E1220" s="1"/>
      <c r="J1220" s="3"/>
      <c r="L1220" s="1"/>
    </row>
    <row r="1221" spans="1:12" x14ac:dyDescent="0.3">
      <c r="A1221" s="3"/>
      <c r="C1221" s="1"/>
      <c r="E1221" s="1"/>
      <c r="J1221" s="3"/>
      <c r="L1221" s="1"/>
    </row>
    <row r="1222" spans="1:12" x14ac:dyDescent="0.3">
      <c r="A1222" s="3"/>
      <c r="C1222" s="1"/>
      <c r="E1222" s="1"/>
      <c r="J1222" s="3"/>
      <c r="L1222" s="1"/>
    </row>
    <row r="1223" spans="1:12" x14ac:dyDescent="0.3">
      <c r="A1223" s="3"/>
      <c r="C1223" s="1"/>
      <c r="E1223" s="1"/>
      <c r="J1223" s="3"/>
      <c r="L1223" s="1"/>
    </row>
    <row r="1224" spans="1:12" x14ac:dyDescent="0.3">
      <c r="A1224" s="3"/>
      <c r="C1224" s="1"/>
      <c r="E1224" s="1"/>
      <c r="J1224" s="3"/>
      <c r="L1224" s="1"/>
    </row>
    <row r="1225" spans="1:12" x14ac:dyDescent="0.3">
      <c r="A1225" s="3"/>
      <c r="C1225" s="1"/>
      <c r="E1225" s="1"/>
      <c r="J1225" s="3"/>
      <c r="L1225" s="1"/>
    </row>
    <row r="1226" spans="1:12" x14ac:dyDescent="0.3">
      <c r="A1226" s="3"/>
      <c r="C1226" s="1"/>
      <c r="E1226" s="1"/>
      <c r="J1226" s="3"/>
      <c r="L1226" s="1"/>
    </row>
    <row r="1227" spans="1:12" x14ac:dyDescent="0.3">
      <c r="A1227" s="3"/>
      <c r="C1227" s="1"/>
      <c r="E1227" s="1"/>
      <c r="J1227" s="3"/>
      <c r="L1227" s="1"/>
    </row>
    <row r="1228" spans="1:12" x14ac:dyDescent="0.3">
      <c r="A1228" s="3"/>
      <c r="C1228" s="1"/>
      <c r="E1228" s="1"/>
      <c r="J1228" s="3"/>
      <c r="L1228" s="1"/>
    </row>
    <row r="1229" spans="1:12" x14ac:dyDescent="0.3">
      <c r="A1229" s="3"/>
      <c r="C1229" s="1"/>
      <c r="E1229" s="1"/>
      <c r="J1229" s="3"/>
      <c r="L1229" s="1"/>
    </row>
    <row r="1230" spans="1:12" x14ac:dyDescent="0.3">
      <c r="A1230" s="3"/>
      <c r="C1230" s="1"/>
      <c r="E1230" s="1"/>
      <c r="J1230" s="3"/>
      <c r="L1230" s="1"/>
    </row>
    <row r="1231" spans="1:12" x14ac:dyDescent="0.3">
      <c r="A1231" s="3"/>
      <c r="C1231" s="1"/>
      <c r="E1231" s="1"/>
      <c r="J1231" s="3"/>
      <c r="L1231" s="1"/>
    </row>
    <row r="1232" spans="1:12" x14ac:dyDescent="0.3">
      <c r="A1232" s="3"/>
      <c r="C1232" s="1"/>
      <c r="E1232" s="1"/>
      <c r="J1232" s="3"/>
      <c r="L1232" s="1"/>
    </row>
    <row r="1233" spans="1:12" x14ac:dyDescent="0.3">
      <c r="A1233" s="3"/>
      <c r="C1233" s="1"/>
      <c r="E1233" s="1"/>
      <c r="J1233" s="3"/>
      <c r="L1233" s="1"/>
    </row>
    <row r="1234" spans="1:12" x14ac:dyDescent="0.3">
      <c r="A1234" s="3"/>
      <c r="C1234" s="1"/>
      <c r="E1234" s="1"/>
      <c r="J1234" s="3"/>
      <c r="L1234" s="1"/>
    </row>
    <row r="1235" spans="1:12" x14ac:dyDescent="0.3">
      <c r="A1235" s="3"/>
      <c r="C1235" s="1"/>
      <c r="E1235" s="1"/>
      <c r="J1235" s="3"/>
      <c r="L1235" s="1"/>
    </row>
    <row r="1236" spans="1:12" x14ac:dyDescent="0.3">
      <c r="A1236" s="3"/>
      <c r="C1236" s="1"/>
      <c r="E1236" s="1"/>
      <c r="J1236" s="3"/>
      <c r="L1236" s="1"/>
    </row>
    <row r="1237" spans="1:12" x14ac:dyDescent="0.3">
      <c r="A1237" s="3"/>
      <c r="C1237" s="1"/>
      <c r="E1237" s="1"/>
      <c r="J1237" s="3"/>
      <c r="L1237" s="1"/>
    </row>
    <row r="1238" spans="1:12" x14ac:dyDescent="0.3">
      <c r="A1238" s="3"/>
      <c r="C1238" s="1"/>
      <c r="E1238" s="1"/>
      <c r="J1238" s="3"/>
      <c r="L1238" s="1"/>
    </row>
    <row r="1239" spans="1:12" x14ac:dyDescent="0.3">
      <c r="A1239" s="3"/>
      <c r="C1239" s="1"/>
      <c r="E1239" s="1"/>
      <c r="J1239" s="3"/>
      <c r="L1239" s="1"/>
    </row>
    <row r="1240" spans="1:12" x14ac:dyDescent="0.3">
      <c r="A1240" s="3"/>
      <c r="C1240" s="1"/>
      <c r="E1240" s="1"/>
      <c r="J1240" s="3"/>
      <c r="L1240" s="1"/>
    </row>
    <row r="1241" spans="1:12" x14ac:dyDescent="0.3">
      <c r="A1241" s="3"/>
      <c r="C1241" s="1"/>
      <c r="E1241" s="1"/>
      <c r="J1241" s="3"/>
      <c r="L1241" s="1"/>
    </row>
    <row r="1242" spans="1:12" x14ac:dyDescent="0.3">
      <c r="A1242" s="3"/>
      <c r="C1242" s="1"/>
      <c r="E1242" s="1"/>
      <c r="J1242" s="3"/>
      <c r="L1242" s="1"/>
    </row>
    <row r="1243" spans="1:12" x14ac:dyDescent="0.3">
      <c r="A1243" s="3"/>
      <c r="C1243" s="1"/>
      <c r="E1243" s="1"/>
      <c r="J1243" s="3"/>
      <c r="L1243" s="1"/>
    </row>
    <row r="1244" spans="1:12" x14ac:dyDescent="0.3">
      <c r="A1244" s="3"/>
      <c r="C1244" s="1"/>
      <c r="E1244" s="1"/>
      <c r="J1244" s="3"/>
      <c r="L1244" s="1"/>
    </row>
    <row r="1245" spans="1:12" x14ac:dyDescent="0.3">
      <c r="A1245" s="3"/>
      <c r="C1245" s="1"/>
      <c r="E1245" s="1"/>
      <c r="J1245" s="3"/>
      <c r="L1245" s="1"/>
    </row>
    <row r="1246" spans="1:12" x14ac:dyDescent="0.3">
      <c r="A1246" s="3"/>
      <c r="C1246" s="1"/>
      <c r="E1246" s="1"/>
      <c r="J1246" s="3"/>
      <c r="L1246" s="1"/>
    </row>
    <row r="1247" spans="1:12" x14ac:dyDescent="0.3">
      <c r="A1247" s="3"/>
      <c r="C1247" s="1"/>
      <c r="E1247" s="1"/>
      <c r="J1247" s="3"/>
      <c r="L1247" s="1"/>
    </row>
    <row r="1248" spans="1:12" x14ac:dyDescent="0.3">
      <c r="A1248" s="3"/>
      <c r="C1248" s="1"/>
      <c r="E1248" s="1"/>
      <c r="J1248" s="3"/>
      <c r="L1248" s="1"/>
    </row>
    <row r="1249" spans="1:12" x14ac:dyDescent="0.3">
      <c r="A1249" s="3"/>
      <c r="C1249" s="1"/>
      <c r="E1249" s="1"/>
      <c r="J1249" s="3"/>
      <c r="L1249" s="1"/>
    </row>
    <row r="1250" spans="1:12" x14ac:dyDescent="0.3">
      <c r="A1250" s="3"/>
      <c r="C1250" s="1"/>
      <c r="E1250" s="1"/>
      <c r="J1250" s="3"/>
      <c r="L1250" s="1"/>
    </row>
    <row r="1251" spans="1:12" x14ac:dyDescent="0.3">
      <c r="A1251" s="3"/>
      <c r="C1251" s="1"/>
      <c r="E1251" s="1"/>
      <c r="J1251" s="3"/>
      <c r="L1251" s="1"/>
    </row>
    <row r="1252" spans="1:12" x14ac:dyDescent="0.3">
      <c r="A1252" s="3"/>
      <c r="C1252" s="1"/>
      <c r="E1252" s="1"/>
      <c r="J1252" s="3"/>
      <c r="L1252" s="1"/>
    </row>
    <row r="1253" spans="1:12" x14ac:dyDescent="0.3">
      <c r="A1253" s="3"/>
      <c r="C1253" s="1"/>
      <c r="E1253" s="1"/>
      <c r="J1253" s="3"/>
      <c r="L1253" s="1"/>
    </row>
    <row r="1254" spans="1:12" x14ac:dyDescent="0.3">
      <c r="A1254" s="3"/>
      <c r="C1254" s="1"/>
      <c r="E1254" s="1"/>
      <c r="J1254" s="3"/>
      <c r="L1254" s="1"/>
    </row>
    <row r="1255" spans="1:12" x14ac:dyDescent="0.3">
      <c r="A1255" s="3"/>
      <c r="C1255" s="1"/>
      <c r="E1255" s="1"/>
      <c r="J1255" s="3"/>
      <c r="L1255" s="1"/>
    </row>
    <row r="1256" spans="1:12" x14ac:dyDescent="0.3">
      <c r="A1256" s="3"/>
      <c r="C1256" s="1"/>
      <c r="E1256" s="1"/>
      <c r="J1256" s="3"/>
      <c r="L1256" s="1"/>
    </row>
    <row r="1257" spans="1:12" x14ac:dyDescent="0.3">
      <c r="A1257" s="3"/>
      <c r="C1257" s="1"/>
      <c r="E1257" s="1"/>
      <c r="J1257" s="3"/>
      <c r="L1257" s="1"/>
    </row>
    <row r="1258" spans="1:12" x14ac:dyDescent="0.3">
      <c r="A1258" s="3"/>
      <c r="C1258" s="1"/>
      <c r="E1258" s="1"/>
      <c r="J1258" s="3"/>
      <c r="L1258" s="1"/>
    </row>
    <row r="1259" spans="1:12" x14ac:dyDescent="0.3">
      <c r="A1259" s="3"/>
      <c r="C1259" s="1"/>
      <c r="E1259" s="1"/>
      <c r="J1259" s="3"/>
      <c r="L1259" s="1"/>
    </row>
    <row r="1260" spans="1:12" x14ac:dyDescent="0.3">
      <c r="A1260" s="3"/>
      <c r="C1260" s="1"/>
      <c r="E1260" s="1"/>
      <c r="J1260" s="3"/>
      <c r="L1260" s="1"/>
    </row>
    <row r="1261" spans="1:12" x14ac:dyDescent="0.3">
      <c r="A1261" s="3"/>
      <c r="C1261" s="1"/>
      <c r="E1261" s="1"/>
      <c r="J1261" s="3"/>
      <c r="L1261" s="1"/>
    </row>
    <row r="1262" spans="1:12" x14ac:dyDescent="0.3">
      <c r="A1262" s="3"/>
      <c r="C1262" s="1"/>
      <c r="E1262" s="1"/>
      <c r="J1262" s="3"/>
      <c r="L1262" s="1"/>
    </row>
    <row r="1263" spans="1:12" x14ac:dyDescent="0.3">
      <c r="A1263" s="3"/>
      <c r="C1263" s="1"/>
      <c r="E1263" s="1"/>
      <c r="J1263" s="3"/>
      <c r="L1263" s="1"/>
    </row>
    <row r="1264" spans="1:12" x14ac:dyDescent="0.3">
      <c r="A1264" s="3"/>
      <c r="C1264" s="1"/>
      <c r="E1264" s="1"/>
      <c r="J1264" s="3"/>
      <c r="L1264" s="1"/>
    </row>
    <row r="1265" spans="1:12" x14ac:dyDescent="0.3">
      <c r="A1265" s="3"/>
      <c r="C1265" s="1"/>
      <c r="E1265" s="1"/>
      <c r="J1265" s="3"/>
      <c r="L1265" s="1"/>
    </row>
    <row r="1266" spans="1:12" x14ac:dyDescent="0.3">
      <c r="A1266" s="3"/>
      <c r="C1266" s="1"/>
      <c r="E1266" s="1"/>
      <c r="J1266" s="3"/>
      <c r="L1266" s="1"/>
    </row>
    <row r="1267" spans="1:12" x14ac:dyDescent="0.3">
      <c r="A1267" s="3"/>
      <c r="C1267" s="1"/>
      <c r="E1267" s="1"/>
      <c r="J1267" s="3"/>
      <c r="L1267" s="1"/>
    </row>
    <row r="1268" spans="1:12" x14ac:dyDescent="0.3">
      <c r="A1268" s="3"/>
      <c r="C1268" s="1"/>
      <c r="E1268" s="1"/>
      <c r="J1268" s="3"/>
      <c r="L1268" s="1"/>
    </row>
    <row r="1269" spans="1:12" x14ac:dyDescent="0.3">
      <c r="A1269" s="3"/>
      <c r="C1269" s="1"/>
      <c r="E1269" s="1"/>
      <c r="J1269" s="3"/>
      <c r="L1269" s="1"/>
    </row>
    <row r="1270" spans="1:12" x14ac:dyDescent="0.3">
      <c r="A1270" s="3"/>
      <c r="C1270" s="1"/>
      <c r="E1270" s="1"/>
      <c r="J1270" s="3"/>
      <c r="L1270" s="1"/>
    </row>
    <row r="1271" spans="1:12" x14ac:dyDescent="0.3">
      <c r="A1271" s="3"/>
      <c r="C1271" s="1"/>
      <c r="E1271" s="1"/>
      <c r="J1271" s="3"/>
      <c r="L1271" s="1"/>
    </row>
    <row r="1272" spans="1:12" x14ac:dyDescent="0.3">
      <c r="A1272" s="3"/>
      <c r="C1272" s="1"/>
      <c r="E1272" s="1"/>
      <c r="J1272" s="3"/>
      <c r="L1272" s="1"/>
    </row>
    <row r="1273" spans="1:12" x14ac:dyDescent="0.3">
      <c r="A1273" s="3"/>
      <c r="C1273" s="1"/>
      <c r="E1273" s="1"/>
      <c r="J1273" s="3"/>
      <c r="L1273" s="1"/>
    </row>
    <row r="1274" spans="1:12" x14ac:dyDescent="0.3">
      <c r="A1274" s="3"/>
      <c r="C1274" s="1"/>
      <c r="E1274" s="1"/>
      <c r="J1274" s="3"/>
      <c r="L1274" s="1"/>
    </row>
    <row r="1275" spans="1:12" x14ac:dyDescent="0.3">
      <c r="A1275" s="3"/>
      <c r="C1275" s="1"/>
      <c r="E1275" s="1"/>
      <c r="J1275" s="3"/>
      <c r="L1275" s="1"/>
    </row>
    <row r="1276" spans="1:12" x14ac:dyDescent="0.3">
      <c r="A1276" s="3"/>
      <c r="C1276" s="1"/>
      <c r="E1276" s="1"/>
      <c r="J1276" s="3"/>
      <c r="L1276" s="1"/>
    </row>
    <row r="1277" spans="1:12" x14ac:dyDescent="0.3">
      <c r="A1277" s="3"/>
      <c r="C1277" s="1"/>
      <c r="E1277" s="1"/>
      <c r="J1277" s="3"/>
      <c r="L1277" s="1"/>
    </row>
    <row r="1278" spans="1:12" x14ac:dyDescent="0.3">
      <c r="A1278" s="3"/>
      <c r="C1278" s="1"/>
      <c r="E1278" s="1"/>
      <c r="J1278" s="3"/>
      <c r="L1278" s="1"/>
    </row>
    <row r="1279" spans="1:12" x14ac:dyDescent="0.3">
      <c r="A1279" s="3"/>
      <c r="C1279" s="1"/>
      <c r="E1279" s="1"/>
      <c r="J1279" s="3"/>
      <c r="L1279" s="1"/>
    </row>
    <row r="1280" spans="1:12" x14ac:dyDescent="0.3">
      <c r="A1280" s="3"/>
      <c r="C1280" s="1"/>
      <c r="E1280" s="1"/>
      <c r="J1280" s="3"/>
      <c r="L1280" s="1"/>
    </row>
    <row r="1281" spans="1:12" x14ac:dyDescent="0.3">
      <c r="A1281" s="3"/>
      <c r="C1281" s="1"/>
      <c r="E1281" s="1"/>
      <c r="J1281" s="3"/>
      <c r="L1281" s="1"/>
    </row>
    <row r="1282" spans="1:12" x14ac:dyDescent="0.3">
      <c r="A1282" s="3"/>
      <c r="C1282" s="1"/>
      <c r="E1282" s="1"/>
      <c r="J1282" s="3"/>
      <c r="L1282" s="1"/>
    </row>
    <row r="1283" spans="1:12" x14ac:dyDescent="0.3">
      <c r="A1283" s="3"/>
      <c r="C1283" s="1"/>
      <c r="E1283" s="1"/>
      <c r="J1283" s="3"/>
      <c r="L1283" s="1"/>
    </row>
    <row r="1284" spans="1:12" x14ac:dyDescent="0.3">
      <c r="A1284" s="3"/>
      <c r="C1284" s="1"/>
      <c r="E1284" s="1"/>
      <c r="J1284" s="3"/>
      <c r="L1284" s="1"/>
    </row>
    <row r="1285" spans="1:12" x14ac:dyDescent="0.3">
      <c r="A1285" s="3"/>
      <c r="C1285" s="1"/>
      <c r="E1285" s="1"/>
      <c r="J1285" s="3"/>
      <c r="L1285" s="1"/>
    </row>
    <row r="1286" spans="1:12" x14ac:dyDescent="0.3">
      <c r="A1286" s="3"/>
      <c r="C1286" s="1"/>
      <c r="E1286" s="1"/>
      <c r="J1286" s="3"/>
      <c r="L1286" s="1"/>
    </row>
    <row r="1287" spans="1:12" x14ac:dyDescent="0.3">
      <c r="A1287" s="3"/>
      <c r="C1287" s="1"/>
      <c r="E1287" s="1"/>
      <c r="J1287" s="3"/>
      <c r="L1287" s="1"/>
    </row>
    <row r="1288" spans="1:12" x14ac:dyDescent="0.3">
      <c r="A1288" s="3"/>
      <c r="C1288" s="1"/>
      <c r="E1288" s="1"/>
      <c r="J1288" s="3"/>
      <c r="L1288" s="1"/>
    </row>
    <row r="1289" spans="1:12" x14ac:dyDescent="0.3">
      <c r="A1289" s="3"/>
      <c r="C1289" s="1"/>
      <c r="E1289" s="1"/>
      <c r="J1289" s="3"/>
      <c r="L1289" s="1"/>
    </row>
    <row r="1290" spans="1:12" x14ac:dyDescent="0.3">
      <c r="A1290" s="3"/>
      <c r="C1290" s="1"/>
      <c r="E1290" s="1"/>
      <c r="J1290" s="3"/>
      <c r="L1290" s="1"/>
    </row>
    <row r="1291" spans="1:12" x14ac:dyDescent="0.3">
      <c r="A1291" s="3"/>
      <c r="C1291" s="1"/>
      <c r="E1291" s="1"/>
      <c r="J1291" s="3"/>
      <c r="L1291" s="1"/>
    </row>
    <row r="1292" spans="1:12" x14ac:dyDescent="0.3">
      <c r="A1292" s="3"/>
      <c r="C1292" s="1"/>
      <c r="E1292" s="1"/>
      <c r="J1292" s="3"/>
      <c r="L1292" s="1"/>
    </row>
    <row r="1293" spans="1:12" x14ac:dyDescent="0.3">
      <c r="A1293" s="3"/>
      <c r="C1293" s="1"/>
      <c r="E1293" s="1"/>
      <c r="J1293" s="3"/>
      <c r="L1293" s="1"/>
    </row>
    <row r="1294" spans="1:12" x14ac:dyDescent="0.3">
      <c r="A1294" s="3"/>
      <c r="C1294" s="1"/>
      <c r="E1294" s="1"/>
      <c r="J1294" s="3"/>
      <c r="L1294" s="1"/>
    </row>
    <row r="1295" spans="1:12" x14ac:dyDescent="0.3">
      <c r="A1295" s="3"/>
      <c r="C1295" s="1"/>
      <c r="E1295" s="1"/>
      <c r="J1295" s="3"/>
      <c r="L1295" s="1"/>
    </row>
    <row r="1296" spans="1:12" x14ac:dyDescent="0.3">
      <c r="A1296" s="3"/>
      <c r="C1296" s="1"/>
      <c r="E1296" s="1"/>
      <c r="J1296" s="3"/>
      <c r="L1296" s="1"/>
    </row>
    <row r="1297" spans="1:12" x14ac:dyDescent="0.3">
      <c r="A1297" s="3"/>
      <c r="C1297" s="1"/>
      <c r="E1297" s="1"/>
      <c r="J1297" s="3"/>
      <c r="L1297" s="1"/>
    </row>
    <row r="1298" spans="1:12" x14ac:dyDescent="0.3">
      <c r="A1298" s="3"/>
      <c r="C1298" s="1"/>
      <c r="E1298" s="1"/>
      <c r="J1298" s="3"/>
      <c r="L1298" s="1"/>
    </row>
    <row r="1299" spans="1:12" x14ac:dyDescent="0.3">
      <c r="A1299" s="3"/>
      <c r="C1299" s="1"/>
      <c r="E1299" s="1"/>
      <c r="J1299" s="3"/>
      <c r="L1299" s="1"/>
    </row>
    <row r="1300" spans="1:12" x14ac:dyDescent="0.3">
      <c r="A1300" s="3"/>
      <c r="C1300" s="1"/>
      <c r="E1300" s="1"/>
      <c r="J1300" s="3"/>
      <c r="L1300" s="1"/>
    </row>
    <row r="1301" spans="1:12" x14ac:dyDescent="0.3">
      <c r="A1301" s="3"/>
      <c r="C1301" s="1"/>
      <c r="E1301" s="1"/>
      <c r="J1301" s="3"/>
      <c r="L1301" s="1"/>
    </row>
    <row r="1302" spans="1:12" x14ac:dyDescent="0.3">
      <c r="A1302" s="3"/>
      <c r="C1302" s="1"/>
      <c r="E1302" s="1"/>
      <c r="J1302" s="3"/>
      <c r="L1302" s="1"/>
    </row>
    <row r="1303" spans="1:12" x14ac:dyDescent="0.3">
      <c r="A1303" s="3"/>
      <c r="C1303" s="1"/>
      <c r="E1303" s="1"/>
      <c r="J1303" s="3"/>
      <c r="L1303" s="1"/>
    </row>
    <row r="1304" spans="1:12" x14ac:dyDescent="0.3">
      <c r="A1304" s="3"/>
      <c r="C1304" s="1"/>
      <c r="E1304" s="1"/>
      <c r="J1304" s="3"/>
      <c r="L1304" s="1"/>
    </row>
    <row r="1305" spans="1:12" x14ac:dyDescent="0.3">
      <c r="A1305" s="3"/>
      <c r="C1305" s="1"/>
      <c r="E1305" s="1"/>
      <c r="J1305" s="3"/>
      <c r="L1305" s="1"/>
    </row>
    <row r="1306" spans="1:12" x14ac:dyDescent="0.3">
      <c r="A1306" s="3"/>
      <c r="C1306" s="1"/>
      <c r="E1306" s="1"/>
      <c r="J1306" s="3"/>
      <c r="L1306" s="1"/>
    </row>
    <row r="1307" spans="1:12" x14ac:dyDescent="0.3">
      <c r="A1307" s="3"/>
      <c r="C1307" s="1"/>
      <c r="E1307" s="1"/>
      <c r="J1307" s="3"/>
      <c r="L1307" s="1"/>
    </row>
    <row r="1308" spans="1:12" x14ac:dyDescent="0.3">
      <c r="A1308" s="3"/>
      <c r="C1308" s="1"/>
      <c r="E1308" s="1"/>
      <c r="J1308" s="3"/>
      <c r="L1308" s="1"/>
    </row>
    <row r="1309" spans="1:12" x14ac:dyDescent="0.3">
      <c r="A1309" s="3"/>
      <c r="C1309" s="1"/>
      <c r="E1309" s="1"/>
      <c r="J1309" s="3"/>
      <c r="L1309" s="1"/>
    </row>
    <row r="1310" spans="1:12" x14ac:dyDescent="0.3">
      <c r="A1310" s="3"/>
      <c r="C1310" s="1"/>
      <c r="E1310" s="1"/>
      <c r="J1310" s="3"/>
      <c r="L1310" s="1"/>
    </row>
    <row r="1311" spans="1:12" x14ac:dyDescent="0.3">
      <c r="A1311" s="3"/>
      <c r="C1311" s="1"/>
      <c r="E1311" s="1"/>
      <c r="J1311" s="3"/>
      <c r="L1311" s="1"/>
    </row>
    <row r="1312" spans="1:12" x14ac:dyDescent="0.3">
      <c r="A1312" s="3"/>
      <c r="C1312" s="1"/>
      <c r="E1312" s="1"/>
      <c r="J1312" s="3"/>
      <c r="L1312" s="1"/>
    </row>
    <row r="1313" spans="1:12" x14ac:dyDescent="0.3">
      <c r="A1313" s="3"/>
      <c r="C1313" s="1"/>
      <c r="E1313" s="1"/>
      <c r="J1313" s="3"/>
      <c r="L1313" s="1"/>
    </row>
    <row r="1314" spans="1:12" x14ac:dyDescent="0.3">
      <c r="A1314" s="3"/>
      <c r="C1314" s="1"/>
      <c r="E1314" s="1"/>
      <c r="J1314" s="3"/>
      <c r="L1314" s="1"/>
    </row>
    <row r="1315" spans="1:12" x14ac:dyDescent="0.3">
      <c r="A1315" s="3"/>
      <c r="C1315" s="1"/>
      <c r="E1315" s="1"/>
      <c r="J1315" s="3"/>
      <c r="L1315" s="1"/>
    </row>
    <row r="1316" spans="1:12" x14ac:dyDescent="0.3">
      <c r="A1316" s="3"/>
      <c r="C1316" s="1"/>
      <c r="E1316" s="1"/>
      <c r="J1316" s="3"/>
      <c r="L1316" s="1"/>
    </row>
    <row r="1317" spans="1:12" x14ac:dyDescent="0.3">
      <c r="A1317" s="3"/>
      <c r="C1317" s="1"/>
      <c r="E1317" s="1"/>
      <c r="J1317" s="3"/>
      <c r="L1317" s="1"/>
    </row>
    <row r="1318" spans="1:12" x14ac:dyDescent="0.3">
      <c r="A1318" s="3"/>
      <c r="C1318" s="1"/>
      <c r="E1318" s="1"/>
      <c r="J1318" s="3"/>
      <c r="L1318" s="1"/>
    </row>
    <row r="1319" spans="1:12" x14ac:dyDescent="0.3">
      <c r="A1319" s="3"/>
      <c r="C1319" s="1"/>
      <c r="E1319" s="1"/>
      <c r="J1319" s="3"/>
      <c r="L1319" s="1"/>
    </row>
    <row r="1320" spans="1:12" x14ac:dyDescent="0.3">
      <c r="A1320" s="3"/>
      <c r="C1320" s="1"/>
      <c r="E1320" s="1"/>
      <c r="J1320" s="3"/>
      <c r="L1320" s="1"/>
    </row>
    <row r="1321" spans="1:12" x14ac:dyDescent="0.3">
      <c r="A1321" s="3"/>
      <c r="C1321" s="1"/>
      <c r="E1321" s="1"/>
      <c r="J1321" s="3"/>
      <c r="L1321" s="1"/>
    </row>
    <row r="1322" spans="1:12" x14ac:dyDescent="0.3">
      <c r="A1322" s="3"/>
      <c r="C1322" s="1"/>
      <c r="E1322" s="1"/>
      <c r="J1322" s="3"/>
      <c r="L1322" s="1"/>
    </row>
    <row r="1323" spans="1:12" x14ac:dyDescent="0.3">
      <c r="A1323" s="3"/>
      <c r="C1323" s="1"/>
      <c r="E1323" s="1"/>
      <c r="J1323" s="3"/>
      <c r="L1323" s="1"/>
    </row>
    <row r="1324" spans="1:12" x14ac:dyDescent="0.3">
      <c r="A1324" s="3"/>
      <c r="C1324" s="1"/>
      <c r="E1324" s="1"/>
      <c r="J1324" s="3"/>
      <c r="L1324" s="1"/>
    </row>
    <row r="1325" spans="1:12" x14ac:dyDescent="0.3">
      <c r="A1325" s="3"/>
      <c r="C1325" s="1"/>
      <c r="E1325" s="1"/>
      <c r="J1325" s="3"/>
      <c r="L1325" s="1"/>
    </row>
    <row r="1326" spans="1:12" x14ac:dyDescent="0.3">
      <c r="A1326" s="3"/>
      <c r="C1326" s="1"/>
      <c r="E1326" s="1"/>
      <c r="J1326" s="3"/>
      <c r="L1326" s="1"/>
    </row>
    <row r="1327" spans="1:12" x14ac:dyDescent="0.3">
      <c r="A1327" s="3"/>
      <c r="C1327" s="1"/>
      <c r="E1327" s="1"/>
      <c r="J1327" s="3"/>
      <c r="L1327" s="1"/>
    </row>
    <row r="1328" spans="1:12" x14ac:dyDescent="0.3">
      <c r="A1328" s="3"/>
      <c r="C1328" s="1"/>
      <c r="E1328" s="1"/>
      <c r="J1328" s="3"/>
      <c r="L1328" s="1"/>
    </row>
    <row r="1329" spans="1:12" x14ac:dyDescent="0.3">
      <c r="A1329" s="3"/>
      <c r="C1329" s="1"/>
      <c r="E1329" s="1"/>
      <c r="J1329" s="3"/>
      <c r="L1329" s="1"/>
    </row>
    <row r="1330" spans="1:12" x14ac:dyDescent="0.3">
      <c r="A1330" s="3"/>
      <c r="C1330" s="1"/>
      <c r="E1330" s="1"/>
      <c r="J1330" s="3"/>
      <c r="L1330" s="1"/>
    </row>
    <row r="1331" spans="1:12" x14ac:dyDescent="0.3">
      <c r="A1331" s="3"/>
      <c r="C1331" s="1"/>
      <c r="E1331" s="1"/>
      <c r="J1331" s="3"/>
      <c r="L1331" s="1"/>
    </row>
    <row r="1332" spans="1:12" x14ac:dyDescent="0.3">
      <c r="A1332" s="3"/>
      <c r="C1332" s="1"/>
      <c r="E1332" s="1"/>
      <c r="J1332" s="3"/>
      <c r="L1332" s="1"/>
    </row>
    <row r="1333" spans="1:12" x14ac:dyDescent="0.3">
      <c r="A1333" s="3"/>
      <c r="C1333" s="1"/>
      <c r="E1333" s="1"/>
      <c r="J1333" s="3"/>
      <c r="L1333" s="1"/>
    </row>
    <row r="1334" spans="1:12" x14ac:dyDescent="0.3">
      <c r="A1334" s="3"/>
      <c r="C1334" s="1"/>
      <c r="E1334" s="1"/>
      <c r="J1334" s="3"/>
      <c r="L1334" s="1"/>
    </row>
    <row r="1335" spans="1:12" x14ac:dyDescent="0.3">
      <c r="A1335" s="3"/>
      <c r="C1335" s="1"/>
      <c r="E1335" s="1"/>
      <c r="J1335" s="3"/>
      <c r="L1335" s="1"/>
    </row>
    <row r="1336" spans="1:12" x14ac:dyDescent="0.3">
      <c r="A1336" s="3"/>
      <c r="C1336" s="1"/>
      <c r="E1336" s="1"/>
      <c r="J1336" s="3"/>
      <c r="L1336" s="1"/>
    </row>
    <row r="1337" spans="1:12" x14ac:dyDescent="0.3">
      <c r="A1337" s="3"/>
      <c r="C1337" s="1"/>
      <c r="E1337" s="1"/>
      <c r="J1337" s="3"/>
      <c r="L1337" s="1"/>
    </row>
    <row r="1338" spans="1:12" x14ac:dyDescent="0.3">
      <c r="A1338" s="3"/>
      <c r="C1338" s="1"/>
      <c r="E1338" s="1"/>
      <c r="J1338" s="3"/>
      <c r="L1338" s="1"/>
    </row>
    <row r="1339" spans="1:12" x14ac:dyDescent="0.3">
      <c r="A1339" s="3"/>
      <c r="C1339" s="1"/>
      <c r="E1339" s="1"/>
      <c r="J1339" s="3"/>
      <c r="L1339" s="1"/>
    </row>
    <row r="1340" spans="1:12" x14ac:dyDescent="0.3">
      <c r="A1340" s="3"/>
      <c r="C1340" s="1"/>
      <c r="E1340" s="1"/>
      <c r="J1340" s="3"/>
      <c r="L1340" s="1"/>
    </row>
    <row r="1341" spans="1:12" x14ac:dyDescent="0.3">
      <c r="A1341" s="3"/>
      <c r="C1341" s="1"/>
      <c r="E1341" s="1"/>
      <c r="J1341" s="3"/>
      <c r="L1341" s="1"/>
    </row>
    <row r="1342" spans="1:12" x14ac:dyDescent="0.3">
      <c r="A1342" s="3"/>
      <c r="C1342" s="1"/>
      <c r="E1342" s="1"/>
      <c r="J1342" s="3"/>
      <c r="L1342" s="1"/>
    </row>
    <row r="1343" spans="1:12" x14ac:dyDescent="0.3">
      <c r="A1343" s="3"/>
      <c r="C1343" s="1"/>
      <c r="E1343" s="1"/>
      <c r="J1343" s="3"/>
      <c r="L1343" s="1"/>
    </row>
    <row r="1344" spans="1:12" x14ac:dyDescent="0.3">
      <c r="A1344" s="3"/>
      <c r="C1344" s="1"/>
      <c r="E1344" s="1"/>
      <c r="J1344" s="3"/>
      <c r="L1344" s="1"/>
    </row>
    <row r="1345" spans="1:12" x14ac:dyDescent="0.3">
      <c r="A1345" s="3"/>
      <c r="C1345" s="1"/>
      <c r="E1345" s="1"/>
      <c r="J1345" s="3"/>
      <c r="L1345" s="1"/>
    </row>
    <row r="1346" spans="1:12" x14ac:dyDescent="0.3">
      <c r="A1346" s="3"/>
      <c r="C1346" s="1"/>
      <c r="E1346" s="1"/>
      <c r="J1346" s="3"/>
      <c r="L1346" s="1"/>
    </row>
    <row r="1347" spans="1:12" x14ac:dyDescent="0.3">
      <c r="A1347" s="3"/>
      <c r="C1347" s="1"/>
      <c r="E1347" s="1"/>
      <c r="J1347" s="3"/>
      <c r="L1347" s="1"/>
    </row>
    <row r="1348" spans="1:12" x14ac:dyDescent="0.3">
      <c r="A1348" s="3"/>
      <c r="C1348" s="1"/>
      <c r="E1348" s="1"/>
      <c r="J1348" s="3"/>
      <c r="L1348" s="1"/>
    </row>
    <row r="1349" spans="1:12" x14ac:dyDescent="0.3">
      <c r="A1349" s="3"/>
      <c r="C1349" s="1"/>
      <c r="E1349" s="1"/>
      <c r="J1349" s="3"/>
      <c r="L1349" s="1"/>
    </row>
    <row r="1350" spans="1:12" x14ac:dyDescent="0.3">
      <c r="A1350" s="3"/>
      <c r="C1350" s="1"/>
      <c r="E1350" s="1"/>
      <c r="J1350" s="3"/>
      <c r="L1350" s="1"/>
    </row>
    <row r="1351" spans="1:12" x14ac:dyDescent="0.3">
      <c r="A1351" s="3"/>
      <c r="C1351" s="1"/>
      <c r="E1351" s="1"/>
      <c r="J1351" s="3"/>
      <c r="L1351" s="1"/>
    </row>
    <row r="1352" spans="1:12" x14ac:dyDescent="0.3">
      <c r="A1352" s="3"/>
      <c r="C1352" s="1"/>
      <c r="E1352" s="1"/>
      <c r="J1352" s="3"/>
      <c r="L1352" s="1"/>
    </row>
    <row r="1353" spans="1:12" x14ac:dyDescent="0.3">
      <c r="A1353" s="3"/>
      <c r="C1353" s="1"/>
      <c r="E1353" s="1"/>
      <c r="J1353" s="3"/>
      <c r="L1353" s="1"/>
    </row>
    <row r="1354" spans="1:12" x14ac:dyDescent="0.3">
      <c r="A1354" s="3"/>
      <c r="C1354" s="1"/>
      <c r="E1354" s="1"/>
      <c r="J1354" s="3"/>
      <c r="L1354" s="1"/>
    </row>
    <row r="1355" spans="1:12" x14ac:dyDescent="0.3">
      <c r="A1355" s="3"/>
      <c r="C1355" s="1"/>
      <c r="E1355" s="1"/>
      <c r="J1355" s="3"/>
      <c r="L1355" s="1"/>
    </row>
    <row r="1356" spans="1:12" x14ac:dyDescent="0.3">
      <c r="A1356" s="3"/>
      <c r="C1356" s="1"/>
      <c r="E1356" s="1"/>
      <c r="J1356" s="3"/>
      <c r="L1356" s="1"/>
    </row>
    <row r="1357" spans="1:12" x14ac:dyDescent="0.3">
      <c r="A1357" s="3"/>
      <c r="C1357" s="1"/>
      <c r="E1357" s="1"/>
      <c r="J1357" s="3"/>
      <c r="L1357" s="1"/>
    </row>
    <row r="1358" spans="1:12" x14ac:dyDescent="0.3">
      <c r="A1358" s="3"/>
      <c r="C1358" s="1"/>
      <c r="E1358" s="1"/>
      <c r="J1358" s="3"/>
      <c r="L1358" s="1"/>
    </row>
    <row r="1359" spans="1:12" x14ac:dyDescent="0.3">
      <c r="A1359" s="3"/>
      <c r="C1359" s="1"/>
      <c r="E1359" s="1"/>
      <c r="J1359" s="3"/>
      <c r="L1359" s="1"/>
    </row>
    <row r="1360" spans="1:12" x14ac:dyDescent="0.3">
      <c r="A1360" s="3"/>
      <c r="C1360" s="1"/>
      <c r="E1360" s="1"/>
      <c r="J1360" s="3"/>
      <c r="L1360" s="1"/>
    </row>
    <row r="1361" spans="1:12" x14ac:dyDescent="0.3">
      <c r="A1361" s="3"/>
      <c r="C1361" s="1"/>
      <c r="E1361" s="1"/>
      <c r="J1361" s="3"/>
      <c r="L1361" s="1"/>
    </row>
    <row r="1362" spans="1:12" x14ac:dyDescent="0.3">
      <c r="A1362" s="3"/>
      <c r="C1362" s="1"/>
      <c r="E1362" s="1"/>
      <c r="J1362" s="3"/>
      <c r="L1362" s="1"/>
    </row>
    <row r="1363" spans="1:12" x14ac:dyDescent="0.3">
      <c r="A1363" s="3"/>
      <c r="C1363" s="1"/>
      <c r="E1363" s="1"/>
      <c r="J1363" s="3"/>
      <c r="L1363" s="1"/>
    </row>
    <row r="1364" spans="1:12" x14ac:dyDescent="0.3">
      <c r="A1364" s="3"/>
      <c r="C1364" s="1"/>
      <c r="E1364" s="1"/>
      <c r="J1364" s="3"/>
      <c r="L1364" s="1"/>
    </row>
    <row r="1365" spans="1:12" x14ac:dyDescent="0.3">
      <c r="A1365" s="3"/>
      <c r="C1365" s="1"/>
      <c r="E1365" s="1"/>
      <c r="J1365" s="3"/>
      <c r="L1365" s="1"/>
    </row>
    <row r="1366" spans="1:12" x14ac:dyDescent="0.3">
      <c r="A1366" s="3"/>
      <c r="C1366" s="1"/>
      <c r="E1366" s="1"/>
      <c r="J1366" s="3"/>
      <c r="L1366" s="1"/>
    </row>
    <row r="1367" spans="1:12" x14ac:dyDescent="0.3">
      <c r="A1367" s="3"/>
      <c r="C1367" s="1"/>
      <c r="E1367" s="1"/>
      <c r="J1367" s="3"/>
      <c r="L1367" s="1"/>
    </row>
    <row r="1368" spans="1:12" x14ac:dyDescent="0.3">
      <c r="A1368" s="3"/>
      <c r="C1368" s="1"/>
      <c r="E1368" s="1"/>
      <c r="J1368" s="3"/>
      <c r="L1368" s="1"/>
    </row>
    <row r="1369" spans="1:12" x14ac:dyDescent="0.3">
      <c r="A1369" s="3"/>
      <c r="C1369" s="1"/>
      <c r="E1369" s="1"/>
      <c r="J1369" s="3"/>
      <c r="L1369" s="1"/>
    </row>
    <row r="1370" spans="1:12" x14ac:dyDescent="0.3">
      <c r="A1370" s="3"/>
      <c r="C1370" s="1"/>
      <c r="E1370" s="1"/>
      <c r="J1370" s="3"/>
      <c r="L1370" s="1"/>
    </row>
    <row r="1371" spans="1:12" x14ac:dyDescent="0.3">
      <c r="A1371" s="3"/>
      <c r="C1371" s="1"/>
      <c r="E1371" s="1"/>
      <c r="J1371" s="3"/>
      <c r="L1371" s="1"/>
    </row>
    <row r="1372" spans="1:12" x14ac:dyDescent="0.3">
      <c r="A1372" s="3"/>
      <c r="C1372" s="1"/>
      <c r="E1372" s="1"/>
      <c r="J1372" s="3"/>
      <c r="L1372" s="1"/>
    </row>
    <row r="1373" spans="1:12" x14ac:dyDescent="0.3">
      <c r="A1373" s="3"/>
      <c r="C1373" s="1"/>
      <c r="E1373" s="1"/>
      <c r="J1373" s="3"/>
      <c r="L1373" s="1"/>
    </row>
    <row r="1374" spans="1:12" x14ac:dyDescent="0.3">
      <c r="A1374" s="3"/>
      <c r="C1374" s="1"/>
      <c r="E1374" s="1"/>
      <c r="J1374" s="3"/>
      <c r="L1374" s="1"/>
    </row>
    <row r="1375" spans="1:12" x14ac:dyDescent="0.3">
      <c r="A1375" s="3"/>
      <c r="C1375" s="1"/>
      <c r="E1375" s="1"/>
      <c r="J1375" s="3"/>
      <c r="L1375" s="1"/>
    </row>
    <row r="1376" spans="1:12" x14ac:dyDescent="0.3">
      <c r="A1376" s="3"/>
      <c r="C1376" s="1"/>
      <c r="E1376" s="1"/>
      <c r="J1376" s="3"/>
      <c r="L1376" s="1"/>
    </row>
    <row r="1377" spans="1:12" x14ac:dyDescent="0.3">
      <c r="A1377" s="3"/>
      <c r="C1377" s="1"/>
      <c r="E1377" s="1"/>
      <c r="J1377" s="3"/>
      <c r="L1377" s="1"/>
    </row>
    <row r="1378" spans="1:12" x14ac:dyDescent="0.3">
      <c r="A1378" s="3"/>
      <c r="C1378" s="1"/>
      <c r="E1378" s="1"/>
      <c r="J1378" s="3"/>
      <c r="L1378" s="1"/>
    </row>
    <row r="1379" spans="1:12" x14ac:dyDescent="0.3">
      <c r="A1379" s="3"/>
      <c r="C1379" s="1"/>
      <c r="E1379" s="1"/>
      <c r="J1379" s="3"/>
      <c r="L1379" s="1"/>
    </row>
    <row r="1380" spans="1:12" x14ac:dyDescent="0.3">
      <c r="A1380" s="3"/>
      <c r="C1380" s="1"/>
      <c r="E1380" s="1"/>
      <c r="J1380" s="3"/>
      <c r="L1380" s="1"/>
    </row>
    <row r="1381" spans="1:12" x14ac:dyDescent="0.3">
      <c r="A1381" s="3"/>
      <c r="C1381" s="1"/>
      <c r="E1381" s="1"/>
      <c r="J1381" s="3"/>
      <c r="L1381" s="1"/>
    </row>
    <row r="1382" spans="1:12" x14ac:dyDescent="0.3">
      <c r="A1382" s="3"/>
      <c r="C1382" s="1"/>
      <c r="E1382" s="1"/>
      <c r="J1382" s="3"/>
      <c r="L1382" s="1"/>
    </row>
    <row r="1383" spans="1:12" x14ac:dyDescent="0.3">
      <c r="A1383" s="3"/>
      <c r="C1383" s="1"/>
      <c r="E1383" s="1"/>
      <c r="J1383" s="3"/>
      <c r="L1383" s="1"/>
    </row>
    <row r="1384" spans="1:12" x14ac:dyDescent="0.3">
      <c r="A1384" s="3"/>
      <c r="C1384" s="1"/>
      <c r="E1384" s="1"/>
      <c r="J1384" s="3"/>
      <c r="L1384" s="1"/>
    </row>
    <row r="1385" spans="1:12" x14ac:dyDescent="0.3">
      <c r="A1385" s="3"/>
      <c r="C1385" s="1"/>
      <c r="E1385" s="1"/>
      <c r="J1385" s="3"/>
      <c r="L1385" s="1"/>
    </row>
    <row r="1386" spans="1:12" x14ac:dyDescent="0.3">
      <c r="A1386" s="3"/>
      <c r="C1386" s="1"/>
      <c r="E1386" s="1"/>
      <c r="J1386" s="3"/>
      <c r="L1386" s="1"/>
    </row>
    <row r="1387" spans="1:12" x14ac:dyDescent="0.3">
      <c r="A1387" s="3"/>
      <c r="C1387" s="1"/>
      <c r="E1387" s="1"/>
      <c r="J1387" s="3"/>
      <c r="L1387" s="1"/>
    </row>
    <row r="1388" spans="1:12" x14ac:dyDescent="0.3">
      <c r="A1388" s="3"/>
      <c r="C1388" s="1"/>
      <c r="E1388" s="1"/>
      <c r="J1388" s="3"/>
      <c r="L1388" s="1"/>
    </row>
    <row r="1389" spans="1:12" x14ac:dyDescent="0.3">
      <c r="A1389" s="3"/>
      <c r="C1389" s="1"/>
      <c r="E1389" s="1"/>
      <c r="J1389" s="3"/>
      <c r="L1389" s="1"/>
    </row>
    <row r="1390" spans="1:12" x14ac:dyDescent="0.3">
      <c r="A1390" s="3"/>
      <c r="C1390" s="1"/>
      <c r="E1390" s="1"/>
      <c r="J1390" s="3"/>
      <c r="L1390" s="1"/>
    </row>
    <row r="1391" spans="1:12" x14ac:dyDescent="0.3">
      <c r="A1391" s="3"/>
      <c r="C1391" s="1"/>
      <c r="E1391" s="1"/>
      <c r="J1391" s="3"/>
      <c r="L1391" s="1"/>
    </row>
    <row r="1392" spans="1:12" x14ac:dyDescent="0.3">
      <c r="A1392" s="3"/>
      <c r="C1392" s="1"/>
      <c r="E1392" s="1"/>
      <c r="J1392" s="3"/>
      <c r="L1392" s="1"/>
    </row>
    <row r="1393" spans="1:12" x14ac:dyDescent="0.3">
      <c r="A1393" s="3"/>
      <c r="C1393" s="1"/>
      <c r="E1393" s="1"/>
      <c r="J1393" s="3"/>
      <c r="L1393" s="1"/>
    </row>
    <row r="1394" spans="1:12" x14ac:dyDescent="0.3">
      <c r="A1394" s="3"/>
      <c r="C1394" s="1"/>
      <c r="E1394" s="1"/>
      <c r="J1394" s="3"/>
      <c r="L1394" s="1"/>
    </row>
    <row r="1395" spans="1:12" x14ac:dyDescent="0.3">
      <c r="A1395" s="3"/>
      <c r="C1395" s="1"/>
      <c r="E1395" s="1"/>
      <c r="J1395" s="3"/>
      <c r="L1395" s="1"/>
    </row>
    <row r="1396" spans="1:12" x14ac:dyDescent="0.3">
      <c r="A1396" s="3"/>
      <c r="C1396" s="1"/>
      <c r="E1396" s="1"/>
      <c r="J1396" s="3"/>
      <c r="L1396" s="1"/>
    </row>
    <row r="1397" spans="1:12" x14ac:dyDescent="0.3">
      <c r="A1397" s="3"/>
      <c r="C1397" s="1"/>
      <c r="E1397" s="1"/>
      <c r="J1397" s="3"/>
      <c r="L1397" s="1"/>
    </row>
    <row r="1398" spans="1:12" x14ac:dyDescent="0.3">
      <c r="A1398" s="3"/>
      <c r="C1398" s="1"/>
      <c r="E1398" s="1"/>
      <c r="J1398" s="3"/>
      <c r="L1398" s="1"/>
    </row>
    <row r="1399" spans="1:12" x14ac:dyDescent="0.3">
      <c r="A1399" s="3"/>
      <c r="C1399" s="1"/>
      <c r="E1399" s="1"/>
      <c r="J1399" s="3"/>
      <c r="L1399" s="1"/>
    </row>
    <row r="1400" spans="1:12" x14ac:dyDescent="0.3">
      <c r="A1400" s="3"/>
      <c r="C1400" s="1"/>
      <c r="E1400" s="1"/>
      <c r="J1400" s="3"/>
      <c r="L1400" s="1"/>
    </row>
    <row r="1401" spans="1:12" x14ac:dyDescent="0.3">
      <c r="A1401" s="3"/>
      <c r="C1401" s="1"/>
      <c r="E1401" s="1"/>
      <c r="J1401" s="3"/>
      <c r="L1401" s="1"/>
    </row>
    <row r="1402" spans="1:12" x14ac:dyDescent="0.3">
      <c r="A1402" s="3"/>
      <c r="C1402" s="1"/>
      <c r="E1402" s="1"/>
      <c r="J1402" s="3"/>
      <c r="L1402" s="1"/>
    </row>
    <row r="1403" spans="1:12" x14ac:dyDescent="0.3">
      <c r="A1403" s="3"/>
      <c r="C1403" s="1"/>
      <c r="E1403" s="1"/>
      <c r="J1403" s="3"/>
      <c r="L1403" s="1"/>
    </row>
    <row r="1404" spans="1:12" x14ac:dyDescent="0.3">
      <c r="A1404" s="3"/>
      <c r="C1404" s="1"/>
      <c r="E1404" s="1"/>
      <c r="J1404" s="3"/>
      <c r="L1404" s="1"/>
    </row>
    <row r="1405" spans="1:12" x14ac:dyDescent="0.3">
      <c r="A1405" s="3"/>
      <c r="C1405" s="1"/>
      <c r="E1405" s="1"/>
      <c r="J1405" s="3"/>
      <c r="L1405" s="1"/>
    </row>
    <row r="1406" spans="1:12" x14ac:dyDescent="0.3">
      <c r="A1406" s="3"/>
      <c r="C1406" s="1"/>
      <c r="E1406" s="1"/>
      <c r="J1406" s="3"/>
      <c r="L1406" s="1"/>
    </row>
    <row r="1407" spans="1:12" x14ac:dyDescent="0.3">
      <c r="A1407" s="3"/>
      <c r="C1407" s="1"/>
      <c r="E1407" s="1"/>
      <c r="J1407" s="3"/>
      <c r="L1407" s="1"/>
    </row>
    <row r="1408" spans="1:12" x14ac:dyDescent="0.3">
      <c r="A1408" s="3"/>
      <c r="C1408" s="1"/>
      <c r="E1408" s="1"/>
      <c r="J1408" s="3"/>
      <c r="L1408" s="1"/>
    </row>
    <row r="1409" spans="1:12" x14ac:dyDescent="0.3">
      <c r="A1409" s="3"/>
      <c r="C1409" s="1"/>
      <c r="E1409" s="1"/>
      <c r="J1409" s="3"/>
      <c r="L1409" s="1"/>
    </row>
    <row r="1410" spans="1:12" x14ac:dyDescent="0.3">
      <c r="A1410" s="3"/>
      <c r="C1410" s="1"/>
      <c r="E1410" s="1"/>
      <c r="J1410" s="3"/>
      <c r="L1410" s="1"/>
    </row>
    <row r="1411" spans="1:12" x14ac:dyDescent="0.3">
      <c r="A1411" s="3"/>
      <c r="C1411" s="1"/>
      <c r="E1411" s="1"/>
      <c r="J1411" s="3"/>
      <c r="L1411" s="1"/>
    </row>
    <row r="1412" spans="1:12" x14ac:dyDescent="0.3">
      <c r="A1412" s="3"/>
      <c r="C1412" s="1"/>
      <c r="E1412" s="1"/>
      <c r="J1412" s="3"/>
      <c r="L1412" s="1"/>
    </row>
    <row r="1413" spans="1:12" x14ac:dyDescent="0.3">
      <c r="A1413" s="3"/>
      <c r="C1413" s="1"/>
      <c r="E1413" s="1"/>
      <c r="J1413" s="3"/>
      <c r="L1413" s="1"/>
    </row>
    <row r="1414" spans="1:12" x14ac:dyDescent="0.3">
      <c r="A1414" s="3"/>
      <c r="C1414" s="1"/>
      <c r="E1414" s="1"/>
      <c r="J1414" s="3"/>
      <c r="L1414" s="1"/>
    </row>
    <row r="1415" spans="1:12" x14ac:dyDescent="0.3">
      <c r="A1415" s="3"/>
      <c r="C1415" s="1"/>
      <c r="E1415" s="1"/>
      <c r="J1415" s="3"/>
      <c r="L1415" s="1"/>
    </row>
    <row r="1416" spans="1:12" x14ac:dyDescent="0.3">
      <c r="A1416" s="3"/>
      <c r="C1416" s="1"/>
      <c r="E1416" s="1"/>
      <c r="J1416" s="3"/>
      <c r="L1416" s="1"/>
    </row>
    <row r="1417" spans="1:12" x14ac:dyDescent="0.3">
      <c r="A1417" s="3"/>
      <c r="C1417" s="1"/>
      <c r="E1417" s="1"/>
      <c r="J1417" s="3"/>
      <c r="L1417" s="1"/>
    </row>
    <row r="1418" spans="1:12" x14ac:dyDescent="0.3">
      <c r="A1418" s="3"/>
      <c r="C1418" s="1"/>
      <c r="E1418" s="1"/>
      <c r="J1418" s="3"/>
      <c r="L1418" s="1"/>
    </row>
    <row r="1419" spans="1:12" x14ac:dyDescent="0.3">
      <c r="A1419" s="3"/>
      <c r="C1419" s="1"/>
      <c r="E1419" s="1"/>
      <c r="J1419" s="3"/>
      <c r="L1419" s="1"/>
    </row>
    <row r="1420" spans="1:12" x14ac:dyDescent="0.3">
      <c r="A1420" s="3"/>
      <c r="C1420" s="1"/>
      <c r="E1420" s="1"/>
      <c r="J1420" s="3"/>
      <c r="L1420" s="1"/>
    </row>
    <row r="1421" spans="1:12" x14ac:dyDescent="0.3">
      <c r="A1421" s="3"/>
      <c r="C1421" s="1"/>
      <c r="E1421" s="1"/>
      <c r="J1421" s="3"/>
      <c r="L1421" s="1"/>
    </row>
    <row r="1422" spans="1:12" x14ac:dyDescent="0.3">
      <c r="A1422" s="3"/>
      <c r="C1422" s="1"/>
      <c r="E1422" s="1"/>
      <c r="J1422" s="3"/>
      <c r="L1422" s="1"/>
    </row>
    <row r="1423" spans="1:12" x14ac:dyDescent="0.3">
      <c r="A1423" s="3"/>
      <c r="C1423" s="1"/>
      <c r="E1423" s="1"/>
      <c r="J1423" s="3"/>
      <c r="L1423" s="1"/>
    </row>
    <row r="1424" spans="1:12" x14ac:dyDescent="0.3">
      <c r="A1424" s="3"/>
      <c r="C1424" s="1"/>
      <c r="E1424" s="1"/>
      <c r="J1424" s="3"/>
      <c r="L1424" s="1"/>
    </row>
    <row r="1425" spans="1:12" x14ac:dyDescent="0.3">
      <c r="A1425" s="3"/>
      <c r="C1425" s="1"/>
      <c r="E1425" s="1"/>
      <c r="J1425" s="3"/>
      <c r="L1425" s="1"/>
    </row>
    <row r="1426" spans="1:12" x14ac:dyDescent="0.3">
      <c r="A1426" s="3"/>
      <c r="C1426" s="1"/>
      <c r="E1426" s="1"/>
      <c r="J1426" s="3"/>
      <c r="L1426" s="1"/>
    </row>
    <row r="1427" spans="1:12" x14ac:dyDescent="0.3">
      <c r="A1427" s="3"/>
      <c r="C1427" s="1"/>
      <c r="E1427" s="1"/>
      <c r="J1427" s="3"/>
      <c r="L1427" s="1"/>
    </row>
    <row r="1428" spans="1:12" x14ac:dyDescent="0.3">
      <c r="A1428" s="3"/>
      <c r="C1428" s="1"/>
      <c r="E1428" s="1"/>
      <c r="J1428" s="3"/>
      <c r="L1428" s="1"/>
    </row>
    <row r="1429" spans="1:12" x14ac:dyDescent="0.3">
      <c r="A1429" s="3"/>
      <c r="C1429" s="1"/>
      <c r="E1429" s="1"/>
      <c r="J1429" s="3"/>
      <c r="L1429" s="1"/>
    </row>
    <row r="1430" spans="1:12" x14ac:dyDescent="0.3">
      <c r="A1430" s="3"/>
      <c r="C1430" s="1"/>
      <c r="E1430" s="1"/>
      <c r="J1430" s="3"/>
      <c r="L1430" s="1"/>
    </row>
    <row r="1431" spans="1:12" x14ac:dyDescent="0.3">
      <c r="A1431" s="3"/>
      <c r="C1431" s="1"/>
      <c r="E1431" s="1"/>
      <c r="J1431" s="3"/>
      <c r="L1431" s="1"/>
    </row>
    <row r="1432" spans="1:12" x14ac:dyDescent="0.3">
      <c r="A1432" s="3"/>
      <c r="C1432" s="1"/>
      <c r="E1432" s="1"/>
      <c r="J1432" s="3"/>
      <c r="L1432" s="1"/>
    </row>
    <row r="1433" spans="1:12" x14ac:dyDescent="0.3">
      <c r="A1433" s="3"/>
      <c r="C1433" s="1"/>
      <c r="E1433" s="1"/>
      <c r="J1433" s="3"/>
      <c r="L1433" s="1"/>
    </row>
    <row r="1434" spans="1:12" x14ac:dyDescent="0.3">
      <c r="A1434" s="3"/>
      <c r="C1434" s="1"/>
      <c r="E1434" s="1"/>
      <c r="J1434" s="3"/>
      <c r="L1434" s="1"/>
    </row>
    <row r="1435" spans="1:12" x14ac:dyDescent="0.3">
      <c r="A1435" s="3"/>
      <c r="C1435" s="1"/>
      <c r="E1435" s="1"/>
      <c r="J1435" s="3"/>
      <c r="L1435" s="1"/>
    </row>
    <row r="1436" spans="1:12" x14ac:dyDescent="0.3">
      <c r="A1436" s="3"/>
      <c r="C1436" s="1"/>
      <c r="E1436" s="1"/>
      <c r="J1436" s="3"/>
      <c r="L1436" s="1"/>
    </row>
    <row r="1437" spans="1:12" x14ac:dyDescent="0.3">
      <c r="A1437" s="3"/>
      <c r="C1437" s="1"/>
      <c r="E1437" s="1"/>
      <c r="J1437" s="3"/>
      <c r="L1437" s="1"/>
    </row>
    <row r="1438" spans="1:12" x14ac:dyDescent="0.3">
      <c r="A1438" s="3"/>
      <c r="C1438" s="1"/>
      <c r="E1438" s="1"/>
      <c r="J1438" s="3"/>
      <c r="L1438" s="1"/>
    </row>
    <row r="1439" spans="1:12" x14ac:dyDescent="0.3">
      <c r="A1439" s="3"/>
      <c r="C1439" s="1"/>
      <c r="E1439" s="1"/>
      <c r="J1439" s="3"/>
      <c r="L1439" s="1"/>
    </row>
    <row r="1440" spans="1:12" x14ac:dyDescent="0.3">
      <c r="A1440" s="3"/>
      <c r="C1440" s="1"/>
      <c r="E1440" s="1"/>
      <c r="J1440" s="3"/>
      <c r="L1440" s="1"/>
    </row>
    <row r="1441" spans="1:12" x14ac:dyDescent="0.3">
      <c r="A1441" s="3"/>
      <c r="C1441" s="1"/>
      <c r="E1441" s="1"/>
      <c r="J1441" s="3"/>
      <c r="L1441" s="1"/>
    </row>
    <row r="1442" spans="1:12" x14ac:dyDescent="0.3">
      <c r="A1442" s="3"/>
      <c r="C1442" s="1"/>
      <c r="E1442" s="1"/>
      <c r="J1442" s="3"/>
      <c r="L1442" s="1"/>
    </row>
    <row r="1443" spans="1:12" x14ac:dyDescent="0.3">
      <c r="A1443" s="3"/>
      <c r="C1443" s="1"/>
      <c r="E1443" s="1"/>
      <c r="J1443" s="3"/>
      <c r="L1443" s="1"/>
    </row>
    <row r="1444" spans="1:12" x14ac:dyDescent="0.3">
      <c r="A1444" s="3"/>
      <c r="C1444" s="1"/>
      <c r="E1444" s="1"/>
      <c r="J1444" s="3"/>
      <c r="L1444" s="1"/>
    </row>
    <row r="1445" spans="1:12" x14ac:dyDescent="0.3">
      <c r="A1445" s="3"/>
      <c r="C1445" s="1"/>
      <c r="E1445" s="1"/>
      <c r="J1445" s="3"/>
      <c r="L1445" s="1"/>
    </row>
    <row r="1446" spans="1:12" x14ac:dyDescent="0.3">
      <c r="A1446" s="3"/>
      <c r="C1446" s="1"/>
      <c r="E1446" s="1"/>
      <c r="J1446" s="3"/>
      <c r="L1446" s="1"/>
    </row>
    <row r="1447" spans="1:12" x14ac:dyDescent="0.3">
      <c r="A1447" s="3"/>
      <c r="C1447" s="1"/>
      <c r="E1447" s="1"/>
      <c r="J1447" s="3"/>
      <c r="L1447" s="1"/>
    </row>
    <row r="1448" spans="1:12" x14ac:dyDescent="0.3">
      <c r="A1448" s="3"/>
      <c r="C1448" s="1"/>
      <c r="E1448" s="1"/>
      <c r="J1448" s="3"/>
      <c r="L1448" s="1"/>
    </row>
    <row r="1449" spans="1:12" x14ac:dyDescent="0.3">
      <c r="A1449" s="3"/>
      <c r="C1449" s="1"/>
      <c r="E1449" s="1"/>
      <c r="J1449" s="3"/>
      <c r="L1449" s="1"/>
    </row>
    <row r="1450" spans="1:12" x14ac:dyDescent="0.3">
      <c r="A1450" s="3"/>
      <c r="C1450" s="1"/>
      <c r="E1450" s="1"/>
      <c r="J1450" s="3"/>
      <c r="L1450" s="1"/>
    </row>
    <row r="1451" spans="1:12" x14ac:dyDescent="0.3">
      <c r="A1451" s="3"/>
      <c r="C1451" s="1"/>
      <c r="E1451" s="1"/>
      <c r="J1451" s="3"/>
      <c r="L1451" s="1"/>
    </row>
    <row r="1452" spans="1:12" x14ac:dyDescent="0.3">
      <c r="A1452" s="3"/>
      <c r="C1452" s="1"/>
      <c r="E1452" s="1"/>
      <c r="J1452" s="3"/>
      <c r="L1452" s="1"/>
    </row>
    <row r="1453" spans="1:12" x14ac:dyDescent="0.3">
      <c r="A1453" s="3"/>
      <c r="C1453" s="1"/>
      <c r="E1453" s="1"/>
      <c r="J1453" s="3"/>
      <c r="L1453" s="1"/>
    </row>
    <row r="1454" spans="1:12" x14ac:dyDescent="0.3">
      <c r="A1454" s="3"/>
      <c r="C1454" s="1"/>
      <c r="E1454" s="1"/>
      <c r="J1454" s="3"/>
      <c r="L1454" s="1"/>
    </row>
    <row r="1455" spans="1:12" x14ac:dyDescent="0.3">
      <c r="A1455" s="3"/>
      <c r="C1455" s="1"/>
      <c r="E1455" s="1"/>
      <c r="J1455" s="3"/>
      <c r="L1455" s="1"/>
    </row>
    <row r="1456" spans="1:12" x14ac:dyDescent="0.3">
      <c r="A1456" s="3"/>
      <c r="C1456" s="1"/>
      <c r="E1456" s="1"/>
      <c r="J1456" s="3"/>
      <c r="L1456" s="1"/>
    </row>
    <row r="1457" spans="1:12" x14ac:dyDescent="0.3">
      <c r="A1457" s="3"/>
      <c r="C1457" s="1"/>
      <c r="E1457" s="1"/>
      <c r="J1457" s="3"/>
      <c r="L1457" s="1"/>
    </row>
    <row r="1458" spans="1:12" x14ac:dyDescent="0.3">
      <c r="A1458" s="3"/>
      <c r="C1458" s="1"/>
      <c r="E1458" s="1"/>
      <c r="J1458" s="3"/>
      <c r="L1458" s="1"/>
    </row>
    <row r="1459" spans="1:12" x14ac:dyDescent="0.3">
      <c r="A1459" s="3"/>
      <c r="C1459" s="1"/>
      <c r="E1459" s="1"/>
      <c r="J1459" s="3"/>
      <c r="L1459" s="1"/>
    </row>
    <row r="1460" spans="1:12" x14ac:dyDescent="0.3">
      <c r="A1460" s="3"/>
      <c r="C1460" s="1"/>
      <c r="E1460" s="1"/>
      <c r="J1460" s="3"/>
      <c r="L1460" s="1"/>
    </row>
    <row r="1461" spans="1:12" x14ac:dyDescent="0.3">
      <c r="A1461" s="3"/>
      <c r="C1461" s="1"/>
      <c r="E1461" s="1"/>
      <c r="J1461" s="3"/>
      <c r="L1461" s="1"/>
    </row>
    <row r="1462" spans="1:12" x14ac:dyDescent="0.3">
      <c r="A1462" s="3"/>
      <c r="C1462" s="1"/>
      <c r="E1462" s="1"/>
      <c r="J1462" s="3"/>
      <c r="L1462" s="1"/>
    </row>
    <row r="1463" spans="1:12" x14ac:dyDescent="0.3">
      <c r="A1463" s="3"/>
      <c r="C1463" s="1"/>
      <c r="E1463" s="1"/>
      <c r="J1463" s="3"/>
      <c r="L1463" s="1"/>
    </row>
    <row r="1464" spans="1:12" x14ac:dyDescent="0.3">
      <c r="A1464" s="3"/>
      <c r="C1464" s="1"/>
      <c r="E1464" s="1"/>
      <c r="J1464" s="3"/>
      <c r="L1464" s="1"/>
    </row>
    <row r="1465" spans="1:12" x14ac:dyDescent="0.3">
      <c r="A1465" s="3"/>
      <c r="C1465" s="1"/>
      <c r="E1465" s="1"/>
      <c r="J1465" s="3"/>
      <c r="L1465" s="1"/>
    </row>
    <row r="1466" spans="1:12" x14ac:dyDescent="0.3">
      <c r="A1466" s="3"/>
      <c r="C1466" s="1"/>
      <c r="E1466" s="1"/>
      <c r="J1466" s="3"/>
      <c r="L1466" s="1"/>
    </row>
    <row r="1467" spans="1:12" x14ac:dyDescent="0.3">
      <c r="A1467" s="3"/>
      <c r="C1467" s="1"/>
      <c r="E1467" s="1"/>
      <c r="J1467" s="3"/>
      <c r="L1467" s="1"/>
    </row>
    <row r="1468" spans="1:12" x14ac:dyDescent="0.3">
      <c r="A1468" s="3"/>
      <c r="C1468" s="1"/>
      <c r="E1468" s="1"/>
      <c r="J1468" s="3"/>
      <c r="L1468" s="1"/>
    </row>
    <row r="1469" spans="1:12" x14ac:dyDescent="0.3">
      <c r="A1469" s="3"/>
      <c r="C1469" s="1"/>
      <c r="E1469" s="1"/>
      <c r="J1469" s="3"/>
      <c r="L1469" s="1"/>
    </row>
    <row r="1470" spans="1:12" x14ac:dyDescent="0.3">
      <c r="A1470" s="3"/>
      <c r="C1470" s="1"/>
      <c r="E1470" s="1"/>
      <c r="J1470" s="3"/>
      <c r="L1470" s="1"/>
    </row>
    <row r="1471" spans="1:12" x14ac:dyDescent="0.3">
      <c r="A1471" s="3"/>
      <c r="C1471" s="1"/>
      <c r="E1471" s="1"/>
      <c r="J1471" s="3"/>
      <c r="L1471" s="1"/>
    </row>
    <row r="1472" spans="1:12" x14ac:dyDescent="0.3">
      <c r="A1472" s="3"/>
      <c r="C1472" s="1"/>
      <c r="E1472" s="1"/>
      <c r="J1472" s="3"/>
      <c r="L1472" s="1"/>
    </row>
    <row r="1473" spans="1:12" x14ac:dyDescent="0.3">
      <c r="A1473" s="3"/>
      <c r="C1473" s="1"/>
      <c r="E1473" s="1"/>
      <c r="J1473" s="3"/>
      <c r="L1473" s="1"/>
    </row>
    <row r="1474" spans="1:12" x14ac:dyDescent="0.3">
      <c r="A1474" s="3"/>
      <c r="C1474" s="1"/>
      <c r="E1474" s="1"/>
      <c r="J1474" s="3"/>
      <c r="L1474" s="1"/>
    </row>
    <row r="1475" spans="1:12" x14ac:dyDescent="0.3">
      <c r="A1475" s="3"/>
      <c r="C1475" s="1"/>
      <c r="E1475" s="1"/>
      <c r="J1475" s="3"/>
      <c r="L1475" s="1"/>
    </row>
    <row r="1476" spans="1:12" x14ac:dyDescent="0.3">
      <c r="A1476" s="3"/>
      <c r="C1476" s="1"/>
      <c r="E1476" s="1"/>
      <c r="J1476" s="3"/>
      <c r="L1476" s="1"/>
    </row>
    <row r="1477" spans="1:12" x14ac:dyDescent="0.3">
      <c r="A1477" s="3"/>
      <c r="C1477" s="1"/>
      <c r="E1477" s="1"/>
      <c r="J1477" s="3"/>
      <c r="L1477" s="1"/>
    </row>
    <row r="1478" spans="1:12" x14ac:dyDescent="0.3">
      <c r="A1478" s="3"/>
      <c r="C1478" s="1"/>
      <c r="E1478" s="1"/>
      <c r="J1478" s="3"/>
      <c r="L1478" s="1"/>
    </row>
    <row r="1479" spans="1:12" x14ac:dyDescent="0.3">
      <c r="A1479" s="3"/>
      <c r="C1479" s="1"/>
      <c r="E1479" s="1"/>
      <c r="J1479" s="3"/>
      <c r="L1479" s="1"/>
    </row>
    <row r="1480" spans="1:12" x14ac:dyDescent="0.3">
      <c r="A1480" s="3"/>
      <c r="C1480" s="1"/>
      <c r="E1480" s="1"/>
      <c r="J1480" s="3"/>
      <c r="L1480" s="1"/>
    </row>
    <row r="1481" spans="1:12" x14ac:dyDescent="0.3">
      <c r="A1481" s="3"/>
      <c r="C1481" s="1"/>
      <c r="E1481" s="1"/>
      <c r="J1481" s="3"/>
      <c r="L1481" s="1"/>
    </row>
    <row r="1482" spans="1:12" x14ac:dyDescent="0.3">
      <c r="A1482" s="3"/>
      <c r="C1482" s="1"/>
      <c r="E1482" s="1"/>
      <c r="J1482" s="3"/>
      <c r="L1482" s="1"/>
    </row>
    <row r="1483" spans="1:12" x14ac:dyDescent="0.3">
      <c r="A1483" s="3"/>
      <c r="C1483" s="1"/>
      <c r="E1483" s="1"/>
      <c r="J1483" s="3"/>
      <c r="L1483" s="1"/>
    </row>
    <row r="1484" spans="1:12" x14ac:dyDescent="0.3">
      <c r="A1484" s="3"/>
      <c r="C1484" s="1"/>
      <c r="E1484" s="1"/>
      <c r="J1484" s="3"/>
      <c r="L1484" s="1"/>
    </row>
    <row r="1485" spans="1:12" x14ac:dyDescent="0.3">
      <c r="A1485" s="3"/>
      <c r="C1485" s="1"/>
      <c r="E1485" s="1"/>
      <c r="J1485" s="3"/>
      <c r="L1485" s="1"/>
    </row>
    <row r="1486" spans="1:12" x14ac:dyDescent="0.3">
      <c r="A1486" s="3"/>
      <c r="C1486" s="1"/>
      <c r="E1486" s="1"/>
      <c r="J1486" s="3"/>
      <c r="L1486" s="1"/>
    </row>
    <row r="1487" spans="1:12" x14ac:dyDescent="0.3">
      <c r="A1487" s="3"/>
      <c r="C1487" s="1"/>
      <c r="E1487" s="1"/>
      <c r="J1487" s="3"/>
      <c r="L1487" s="1"/>
    </row>
    <row r="1488" spans="1:12" x14ac:dyDescent="0.3">
      <c r="A1488" s="3"/>
      <c r="C1488" s="1"/>
      <c r="E1488" s="1"/>
      <c r="J1488" s="3"/>
      <c r="L1488" s="1"/>
    </row>
    <row r="1489" spans="1:12" x14ac:dyDescent="0.3">
      <c r="A1489" s="3"/>
      <c r="C1489" s="1"/>
      <c r="E1489" s="1"/>
      <c r="J1489" s="3"/>
      <c r="L1489" s="1"/>
    </row>
    <row r="1490" spans="1:12" x14ac:dyDescent="0.3">
      <c r="A1490" s="3"/>
      <c r="C1490" s="1"/>
      <c r="E1490" s="1"/>
      <c r="J1490" s="3"/>
      <c r="L1490" s="1"/>
    </row>
    <row r="1491" spans="1:12" x14ac:dyDescent="0.3">
      <c r="A1491" s="3"/>
      <c r="C1491" s="1"/>
      <c r="E1491" s="1"/>
      <c r="J1491" s="3"/>
      <c r="L1491" s="1"/>
    </row>
    <row r="1492" spans="1:12" x14ac:dyDescent="0.3">
      <c r="A1492" s="3"/>
      <c r="C1492" s="1"/>
      <c r="E1492" s="1"/>
      <c r="J1492" s="3"/>
      <c r="L1492" s="1"/>
    </row>
    <row r="1493" spans="1:12" x14ac:dyDescent="0.3">
      <c r="A1493" s="3"/>
      <c r="C1493" s="1"/>
      <c r="E1493" s="1"/>
      <c r="J1493" s="3"/>
      <c r="L1493" s="1"/>
    </row>
    <row r="1494" spans="1:12" x14ac:dyDescent="0.3">
      <c r="A1494" s="3"/>
      <c r="C1494" s="1"/>
      <c r="E1494" s="1"/>
      <c r="J1494" s="3"/>
      <c r="L1494" s="1"/>
    </row>
    <row r="1495" spans="1:12" x14ac:dyDescent="0.3">
      <c r="A1495" s="3"/>
      <c r="C1495" s="1"/>
      <c r="E1495" s="1"/>
      <c r="J1495" s="3"/>
      <c r="L1495" s="1"/>
    </row>
    <row r="1496" spans="1:12" x14ac:dyDescent="0.3">
      <c r="A1496" s="3"/>
      <c r="C1496" s="1"/>
      <c r="E1496" s="1"/>
      <c r="J1496" s="3"/>
      <c r="L1496" s="1"/>
    </row>
    <row r="1497" spans="1:12" x14ac:dyDescent="0.3">
      <c r="A1497" s="3"/>
      <c r="C1497" s="1"/>
      <c r="E1497" s="1"/>
      <c r="J1497" s="3"/>
      <c r="L1497" s="1"/>
    </row>
    <row r="1498" spans="1:12" x14ac:dyDescent="0.3">
      <c r="A1498" s="3"/>
      <c r="C1498" s="1"/>
      <c r="E1498" s="1"/>
      <c r="J1498" s="3"/>
      <c r="L1498" s="1"/>
    </row>
    <row r="1499" spans="1:12" x14ac:dyDescent="0.3">
      <c r="A1499" s="3"/>
      <c r="C1499" s="1"/>
      <c r="E1499" s="1"/>
      <c r="J1499" s="3"/>
      <c r="L1499" s="1"/>
    </row>
    <row r="1500" spans="1:12" x14ac:dyDescent="0.3">
      <c r="A1500" s="3"/>
      <c r="C1500" s="1"/>
      <c r="E1500" s="1"/>
      <c r="J1500" s="3"/>
      <c r="L1500" s="1"/>
    </row>
    <row r="1501" spans="1:12" x14ac:dyDescent="0.3">
      <c r="A1501" s="3"/>
      <c r="C1501" s="1"/>
      <c r="E1501" s="1"/>
      <c r="J1501" s="3"/>
      <c r="L1501" s="1"/>
    </row>
    <row r="1502" spans="1:12" x14ac:dyDescent="0.3">
      <c r="A1502" s="3"/>
      <c r="C1502" s="1"/>
      <c r="E1502" s="1"/>
      <c r="J1502" s="3"/>
      <c r="L1502" s="1"/>
    </row>
    <row r="1503" spans="1:12" x14ac:dyDescent="0.3">
      <c r="A1503" s="3"/>
      <c r="C1503" s="1"/>
      <c r="E1503" s="1"/>
      <c r="J1503" s="3"/>
      <c r="L1503" s="1"/>
    </row>
    <row r="1504" spans="1:12" x14ac:dyDescent="0.3">
      <c r="A1504" s="3"/>
      <c r="C1504" s="1"/>
      <c r="E1504" s="1"/>
      <c r="J1504" s="3"/>
      <c r="L1504" s="1"/>
    </row>
    <row r="1505" spans="1:12" x14ac:dyDescent="0.3">
      <c r="A1505" s="3"/>
      <c r="C1505" s="1"/>
      <c r="E1505" s="1"/>
      <c r="J1505" s="3"/>
      <c r="L1505" s="1"/>
    </row>
    <row r="1506" spans="1:12" x14ac:dyDescent="0.3">
      <c r="A1506" s="3"/>
      <c r="C1506" s="1"/>
      <c r="E1506" s="1"/>
      <c r="J1506" s="3"/>
      <c r="L1506" s="1"/>
    </row>
    <row r="1507" spans="1:12" x14ac:dyDescent="0.3">
      <c r="A1507" s="3"/>
      <c r="C1507" s="1"/>
      <c r="E1507" s="1"/>
      <c r="J1507" s="3"/>
      <c r="L1507" s="1"/>
    </row>
    <row r="1508" spans="1:12" x14ac:dyDescent="0.3">
      <c r="A1508" s="3"/>
      <c r="C1508" s="1"/>
      <c r="E1508" s="1"/>
      <c r="J1508" s="3"/>
      <c r="L1508" s="1"/>
    </row>
    <row r="1509" spans="1:12" x14ac:dyDescent="0.3">
      <c r="A1509" s="3"/>
      <c r="C1509" s="1"/>
      <c r="E1509" s="1"/>
      <c r="J1509" s="3"/>
      <c r="L1509" s="1"/>
    </row>
    <row r="1510" spans="1:12" x14ac:dyDescent="0.3">
      <c r="A1510" s="3"/>
      <c r="C1510" s="1"/>
      <c r="E1510" s="1"/>
      <c r="J1510" s="3"/>
      <c r="L1510" s="1"/>
    </row>
    <row r="1511" spans="1:12" x14ac:dyDescent="0.3">
      <c r="A1511" s="3"/>
      <c r="C1511" s="1"/>
      <c r="E1511" s="1"/>
      <c r="J1511" s="3"/>
      <c r="L1511" s="1"/>
    </row>
    <row r="1512" spans="1:12" x14ac:dyDescent="0.3">
      <c r="A1512" s="3"/>
      <c r="C1512" s="1"/>
      <c r="E1512" s="1"/>
      <c r="J1512" s="3"/>
      <c r="L1512" s="1"/>
    </row>
    <row r="1513" spans="1:12" x14ac:dyDescent="0.3">
      <c r="A1513" s="3"/>
      <c r="C1513" s="1"/>
      <c r="E1513" s="1"/>
      <c r="J1513" s="3"/>
      <c r="L1513" s="1"/>
    </row>
    <row r="1514" spans="1:12" x14ac:dyDescent="0.3">
      <c r="A1514" s="3"/>
      <c r="C1514" s="1"/>
      <c r="E1514" s="1"/>
      <c r="J1514" s="3"/>
      <c r="L1514" s="1"/>
    </row>
    <row r="1515" spans="1:12" x14ac:dyDescent="0.3">
      <c r="A1515" s="3"/>
      <c r="C1515" s="1"/>
      <c r="E1515" s="1"/>
      <c r="J1515" s="3"/>
      <c r="L1515" s="1"/>
    </row>
    <row r="1516" spans="1:12" x14ac:dyDescent="0.3">
      <c r="A1516" s="3"/>
      <c r="C1516" s="1"/>
      <c r="E1516" s="1"/>
      <c r="J1516" s="3"/>
      <c r="L1516" s="1"/>
    </row>
    <row r="1517" spans="1:12" x14ac:dyDescent="0.3">
      <c r="A1517" s="3"/>
      <c r="C1517" s="1"/>
      <c r="E1517" s="1"/>
      <c r="J1517" s="3"/>
      <c r="L1517" s="1"/>
    </row>
    <row r="1518" spans="1:12" x14ac:dyDescent="0.3">
      <c r="A1518" s="3"/>
      <c r="C1518" s="1"/>
      <c r="E1518" s="1"/>
      <c r="J1518" s="3"/>
      <c r="L1518" s="1"/>
    </row>
    <row r="1519" spans="1:12" x14ac:dyDescent="0.3">
      <c r="A1519" s="3"/>
      <c r="C1519" s="1"/>
      <c r="E1519" s="1"/>
      <c r="J1519" s="3"/>
      <c r="L1519" s="1"/>
    </row>
    <row r="1520" spans="1:12" x14ac:dyDescent="0.3">
      <c r="A1520" s="3"/>
      <c r="C1520" s="1"/>
      <c r="E1520" s="1"/>
      <c r="J1520" s="3"/>
      <c r="L1520" s="1"/>
    </row>
    <row r="1521" spans="1:12" x14ac:dyDescent="0.3">
      <c r="A1521" s="3"/>
      <c r="C1521" s="1"/>
      <c r="E1521" s="1"/>
      <c r="J1521" s="3"/>
      <c r="L1521" s="1"/>
    </row>
    <row r="1522" spans="1:12" x14ac:dyDescent="0.3">
      <c r="A1522" s="3"/>
      <c r="C1522" s="1"/>
      <c r="E1522" s="1"/>
      <c r="J1522" s="3"/>
      <c r="L1522" s="1"/>
    </row>
    <row r="1523" spans="1:12" x14ac:dyDescent="0.3">
      <c r="A1523" s="3"/>
      <c r="C1523" s="1"/>
      <c r="E1523" s="1"/>
      <c r="J1523" s="3"/>
      <c r="L1523" s="1"/>
    </row>
    <row r="1524" spans="1:12" x14ac:dyDescent="0.3">
      <c r="A1524" s="3"/>
      <c r="C1524" s="1"/>
      <c r="E1524" s="1"/>
      <c r="J1524" s="3"/>
      <c r="L1524" s="1"/>
    </row>
    <row r="1525" spans="1:12" x14ac:dyDescent="0.3">
      <c r="A1525" s="3"/>
      <c r="C1525" s="1"/>
      <c r="E1525" s="1"/>
      <c r="J1525" s="3"/>
      <c r="L1525" s="1"/>
    </row>
    <row r="1526" spans="1:12" x14ac:dyDescent="0.3">
      <c r="A1526" s="3"/>
      <c r="C1526" s="1"/>
      <c r="E1526" s="1"/>
      <c r="J1526" s="3"/>
      <c r="L1526" s="1"/>
    </row>
    <row r="1527" spans="1:12" x14ac:dyDescent="0.3">
      <c r="A1527" s="3"/>
      <c r="C1527" s="1"/>
      <c r="E1527" s="1"/>
      <c r="J1527" s="3"/>
      <c r="L1527" s="1"/>
    </row>
    <row r="1528" spans="1:12" x14ac:dyDescent="0.3">
      <c r="A1528" s="3"/>
      <c r="C1528" s="1"/>
      <c r="E1528" s="1"/>
      <c r="J1528" s="3"/>
      <c r="L1528" s="1"/>
    </row>
    <row r="1529" spans="1:12" x14ac:dyDescent="0.3">
      <c r="A1529" s="3"/>
      <c r="C1529" s="1"/>
      <c r="E1529" s="1"/>
      <c r="J1529" s="3"/>
      <c r="L1529" s="1"/>
    </row>
    <row r="1530" spans="1:12" x14ac:dyDescent="0.3">
      <c r="A1530" s="3"/>
      <c r="C1530" s="1"/>
      <c r="E1530" s="1"/>
      <c r="J1530" s="3"/>
      <c r="L1530" s="1"/>
    </row>
    <row r="1531" spans="1:12" x14ac:dyDescent="0.3">
      <c r="A1531" s="3"/>
      <c r="C1531" s="1"/>
      <c r="E1531" s="1"/>
      <c r="J1531" s="3"/>
      <c r="L1531" s="1"/>
    </row>
    <row r="1532" spans="1:12" x14ac:dyDescent="0.3">
      <c r="A1532" s="3"/>
      <c r="C1532" s="1"/>
      <c r="E1532" s="1"/>
      <c r="J1532" s="3"/>
      <c r="L1532" s="1"/>
    </row>
    <row r="1533" spans="1:12" x14ac:dyDescent="0.3">
      <c r="A1533" s="3"/>
      <c r="C1533" s="1"/>
      <c r="E1533" s="1"/>
      <c r="J1533" s="3"/>
      <c r="L1533" s="1"/>
    </row>
    <row r="1534" spans="1:12" x14ac:dyDescent="0.3">
      <c r="A1534" s="3"/>
      <c r="C1534" s="1"/>
      <c r="E1534" s="1"/>
      <c r="J1534" s="3"/>
      <c r="L1534" s="1"/>
    </row>
    <row r="1535" spans="1:12" x14ac:dyDescent="0.3">
      <c r="A1535" s="3"/>
      <c r="C1535" s="1"/>
      <c r="E1535" s="1"/>
      <c r="J1535" s="3"/>
      <c r="L1535" s="1"/>
    </row>
    <row r="1536" spans="1:12" x14ac:dyDescent="0.3">
      <c r="A1536" s="3"/>
      <c r="C1536" s="1"/>
      <c r="E1536" s="1"/>
      <c r="J1536" s="3"/>
      <c r="L1536" s="1"/>
    </row>
    <row r="1537" spans="1:12" x14ac:dyDescent="0.3">
      <c r="A1537" s="3"/>
      <c r="C1537" s="1"/>
      <c r="E1537" s="1"/>
      <c r="J1537" s="3"/>
      <c r="L1537" s="1"/>
    </row>
    <row r="1538" spans="1:12" x14ac:dyDescent="0.3">
      <c r="A1538" s="3"/>
      <c r="C1538" s="1"/>
      <c r="E1538" s="1"/>
      <c r="J1538" s="3"/>
      <c r="L1538" s="1"/>
    </row>
    <row r="1539" spans="1:12" x14ac:dyDescent="0.3">
      <c r="A1539" s="3"/>
      <c r="C1539" s="1"/>
      <c r="E1539" s="1"/>
      <c r="J1539" s="3"/>
      <c r="L1539" s="1"/>
    </row>
    <row r="1540" spans="1:12" x14ac:dyDescent="0.3">
      <c r="A1540" s="3"/>
      <c r="C1540" s="1"/>
      <c r="E1540" s="1"/>
      <c r="J1540" s="3"/>
      <c r="L1540" s="1"/>
    </row>
    <row r="1541" spans="1:12" x14ac:dyDescent="0.3">
      <c r="A1541" s="3"/>
      <c r="C1541" s="1"/>
      <c r="E1541" s="1"/>
      <c r="J1541" s="3"/>
      <c r="L1541" s="1"/>
    </row>
    <row r="1542" spans="1:12" x14ac:dyDescent="0.3">
      <c r="A1542" s="3"/>
      <c r="C1542" s="1"/>
      <c r="E1542" s="1"/>
      <c r="J1542" s="3"/>
      <c r="L1542" s="1"/>
    </row>
    <row r="1543" spans="1:12" x14ac:dyDescent="0.3">
      <c r="A1543" s="3"/>
      <c r="C1543" s="1"/>
      <c r="E1543" s="1"/>
      <c r="J1543" s="3"/>
      <c r="L1543" s="1"/>
    </row>
    <row r="1544" spans="1:12" x14ac:dyDescent="0.3">
      <c r="A1544" s="3"/>
      <c r="C1544" s="1"/>
      <c r="E1544" s="1"/>
      <c r="J1544" s="3"/>
      <c r="L1544" s="1"/>
    </row>
    <row r="1545" spans="1:12" x14ac:dyDescent="0.3">
      <c r="A1545" s="3"/>
      <c r="C1545" s="1"/>
      <c r="E1545" s="1"/>
      <c r="J1545" s="3"/>
      <c r="L1545" s="1"/>
    </row>
    <row r="1546" spans="1:12" x14ac:dyDescent="0.3">
      <c r="A1546" s="3"/>
      <c r="C1546" s="1"/>
      <c r="E1546" s="1"/>
      <c r="J1546" s="3"/>
      <c r="L1546" s="1"/>
    </row>
    <row r="1547" spans="1:12" x14ac:dyDescent="0.3">
      <c r="A1547" s="3"/>
      <c r="C1547" s="1"/>
      <c r="E1547" s="1"/>
      <c r="J1547" s="3"/>
      <c r="L1547" s="1"/>
    </row>
    <row r="1548" spans="1:12" x14ac:dyDescent="0.3">
      <c r="A1548" s="3"/>
      <c r="C1548" s="1"/>
      <c r="E1548" s="1"/>
      <c r="J1548" s="3"/>
      <c r="L1548" s="1"/>
    </row>
    <row r="1549" spans="1:12" x14ac:dyDescent="0.3">
      <c r="A1549" s="3"/>
      <c r="C1549" s="1"/>
      <c r="E1549" s="1"/>
      <c r="J1549" s="3"/>
      <c r="L1549" s="1"/>
    </row>
    <row r="1550" spans="1:12" x14ac:dyDescent="0.3">
      <c r="A1550" s="3"/>
      <c r="C1550" s="1"/>
      <c r="E1550" s="1"/>
      <c r="J1550" s="3"/>
      <c r="L1550" s="1"/>
    </row>
    <row r="1551" spans="1:12" x14ac:dyDescent="0.3">
      <c r="A1551" s="3"/>
      <c r="C1551" s="1"/>
      <c r="E1551" s="1"/>
      <c r="J1551" s="3"/>
      <c r="L1551" s="1"/>
    </row>
    <row r="1552" spans="1:12" x14ac:dyDescent="0.3">
      <c r="A1552" s="3"/>
      <c r="C1552" s="1"/>
      <c r="E1552" s="1"/>
      <c r="J1552" s="3"/>
      <c r="L1552" s="1"/>
    </row>
    <row r="1553" spans="1:12" x14ac:dyDescent="0.3">
      <c r="A1553" s="3"/>
      <c r="C1553" s="1"/>
      <c r="E1553" s="1"/>
      <c r="J1553" s="3"/>
      <c r="L1553" s="1"/>
    </row>
    <row r="1554" spans="1:12" x14ac:dyDescent="0.3">
      <c r="A1554" s="3"/>
      <c r="C1554" s="1"/>
      <c r="E1554" s="1"/>
      <c r="J1554" s="3"/>
      <c r="L1554" s="1"/>
    </row>
    <row r="1555" spans="1:12" x14ac:dyDescent="0.3">
      <c r="A1555" s="3"/>
      <c r="C1555" s="1"/>
      <c r="E1555" s="1"/>
      <c r="J1555" s="3"/>
      <c r="L1555" s="1"/>
    </row>
    <row r="1556" spans="1:12" x14ac:dyDescent="0.3">
      <c r="A1556" s="3"/>
      <c r="C1556" s="1"/>
      <c r="E1556" s="1"/>
      <c r="J1556" s="3"/>
      <c r="L1556" s="1"/>
    </row>
    <row r="1557" spans="1:12" x14ac:dyDescent="0.3">
      <c r="A1557" s="3"/>
      <c r="C1557" s="1"/>
      <c r="E1557" s="1"/>
      <c r="J1557" s="3"/>
      <c r="L1557" s="1"/>
    </row>
    <row r="1558" spans="1:12" x14ac:dyDescent="0.3">
      <c r="A1558" s="3"/>
      <c r="C1558" s="1"/>
      <c r="E1558" s="1"/>
      <c r="J1558" s="3"/>
      <c r="L1558" s="1"/>
    </row>
    <row r="1559" spans="1:12" x14ac:dyDescent="0.3">
      <c r="A1559" s="3"/>
      <c r="C1559" s="1"/>
      <c r="E1559" s="1"/>
      <c r="J1559" s="3"/>
      <c r="L1559" s="1"/>
    </row>
    <row r="1560" spans="1:12" x14ac:dyDescent="0.3">
      <c r="A1560" s="3"/>
      <c r="C1560" s="1"/>
      <c r="E1560" s="1"/>
      <c r="J1560" s="3"/>
      <c r="L1560" s="1"/>
    </row>
    <row r="1561" spans="1:12" x14ac:dyDescent="0.3">
      <c r="A1561" s="3"/>
      <c r="C1561" s="1"/>
      <c r="E1561" s="1"/>
      <c r="J1561" s="3"/>
      <c r="L1561" s="1"/>
    </row>
    <row r="1562" spans="1:12" x14ac:dyDescent="0.3">
      <c r="A1562" s="3"/>
      <c r="C1562" s="1"/>
      <c r="E1562" s="1"/>
      <c r="J1562" s="3"/>
      <c r="L1562" s="1"/>
    </row>
    <row r="1563" spans="1:12" x14ac:dyDescent="0.3">
      <c r="A1563" s="3"/>
      <c r="C1563" s="1"/>
      <c r="E1563" s="1"/>
      <c r="J1563" s="3"/>
      <c r="L1563" s="1"/>
    </row>
    <row r="1564" spans="1:12" x14ac:dyDescent="0.3">
      <c r="A1564" s="3"/>
      <c r="C1564" s="1"/>
      <c r="E1564" s="1"/>
      <c r="J1564" s="3"/>
      <c r="L1564" s="1"/>
    </row>
    <row r="1565" spans="1:12" x14ac:dyDescent="0.3">
      <c r="A1565" s="3"/>
      <c r="C1565" s="1"/>
      <c r="E1565" s="1"/>
      <c r="J1565" s="3"/>
      <c r="L1565" s="1"/>
    </row>
    <row r="1566" spans="1:12" x14ac:dyDescent="0.3">
      <c r="A1566" s="3"/>
      <c r="C1566" s="1"/>
      <c r="E1566" s="1"/>
      <c r="J1566" s="3"/>
      <c r="L1566" s="1"/>
    </row>
    <row r="1567" spans="1:12" x14ac:dyDescent="0.3">
      <c r="A1567" s="3"/>
      <c r="C1567" s="1"/>
      <c r="E1567" s="1"/>
      <c r="J1567" s="3"/>
      <c r="L1567" s="1"/>
    </row>
    <row r="1568" spans="1:12" x14ac:dyDescent="0.3">
      <c r="A1568" s="3"/>
      <c r="C1568" s="1"/>
      <c r="E1568" s="1"/>
      <c r="J1568" s="3"/>
      <c r="L1568" s="1"/>
    </row>
    <row r="1569" spans="1:12" x14ac:dyDescent="0.3">
      <c r="A1569" s="3"/>
      <c r="C1569" s="1"/>
      <c r="E1569" s="1"/>
      <c r="J1569" s="3"/>
      <c r="L1569" s="1"/>
    </row>
    <row r="1570" spans="1:12" x14ac:dyDescent="0.3">
      <c r="A1570" s="3"/>
      <c r="C1570" s="1"/>
      <c r="E1570" s="1"/>
      <c r="J1570" s="3"/>
      <c r="L1570" s="1"/>
    </row>
    <row r="1571" spans="1:12" x14ac:dyDescent="0.3">
      <c r="A1571" s="3"/>
      <c r="C1571" s="1"/>
      <c r="E1571" s="1"/>
      <c r="J1571" s="3"/>
      <c r="L1571" s="1"/>
    </row>
    <row r="1572" spans="1:12" x14ac:dyDescent="0.3">
      <c r="A1572" s="3"/>
      <c r="C1572" s="1"/>
      <c r="E1572" s="1"/>
      <c r="J1572" s="3"/>
      <c r="L1572" s="1"/>
    </row>
    <row r="1573" spans="1:12" x14ac:dyDescent="0.3">
      <c r="A1573" s="3"/>
      <c r="C1573" s="1"/>
      <c r="E1573" s="1"/>
      <c r="J1573" s="3"/>
      <c r="L1573" s="1"/>
    </row>
    <row r="1574" spans="1:12" x14ac:dyDescent="0.3">
      <c r="A1574" s="3"/>
      <c r="C1574" s="1"/>
      <c r="E1574" s="1"/>
      <c r="J1574" s="3"/>
      <c r="L1574" s="1"/>
    </row>
    <row r="1575" spans="1:12" x14ac:dyDescent="0.3">
      <c r="A1575" s="3"/>
      <c r="C1575" s="1"/>
      <c r="E1575" s="1"/>
      <c r="J1575" s="3"/>
      <c r="L1575" s="1"/>
    </row>
    <row r="1576" spans="1:12" x14ac:dyDescent="0.3">
      <c r="A1576" s="3"/>
      <c r="C1576" s="1"/>
      <c r="E1576" s="1"/>
      <c r="J1576" s="3"/>
      <c r="L1576" s="1"/>
    </row>
    <row r="1577" spans="1:12" x14ac:dyDescent="0.3">
      <c r="A1577" s="3"/>
      <c r="C1577" s="1"/>
      <c r="E1577" s="1"/>
      <c r="J1577" s="3"/>
      <c r="L1577" s="1"/>
    </row>
    <row r="1578" spans="1:12" x14ac:dyDescent="0.3">
      <c r="A1578" s="3"/>
      <c r="C1578" s="1"/>
      <c r="E1578" s="1"/>
      <c r="J1578" s="3"/>
      <c r="L1578" s="1"/>
    </row>
    <row r="1579" spans="1:12" x14ac:dyDescent="0.3">
      <c r="A1579" s="3"/>
      <c r="C1579" s="1"/>
      <c r="E1579" s="1"/>
      <c r="J1579" s="3"/>
      <c r="L1579" s="1"/>
    </row>
    <row r="1580" spans="1:12" x14ac:dyDescent="0.3">
      <c r="A1580" s="3"/>
      <c r="C1580" s="1"/>
      <c r="E1580" s="1"/>
      <c r="J1580" s="3"/>
      <c r="L1580" s="1"/>
    </row>
    <row r="1581" spans="1:12" x14ac:dyDescent="0.3">
      <c r="A1581" s="3"/>
      <c r="C1581" s="1"/>
      <c r="E1581" s="1"/>
      <c r="J1581" s="3"/>
      <c r="L1581" s="1"/>
    </row>
    <row r="1582" spans="1:12" x14ac:dyDescent="0.3">
      <c r="A1582" s="3"/>
      <c r="C1582" s="1"/>
      <c r="E1582" s="1"/>
      <c r="J1582" s="3"/>
      <c r="L1582" s="1"/>
    </row>
    <row r="1583" spans="1:12" x14ac:dyDescent="0.3">
      <c r="A1583" s="3"/>
      <c r="C1583" s="1"/>
      <c r="E1583" s="1"/>
      <c r="J1583" s="3"/>
      <c r="L1583" s="1"/>
    </row>
    <row r="1584" spans="1:12" x14ac:dyDescent="0.3">
      <c r="A1584" s="3"/>
      <c r="C1584" s="1"/>
      <c r="E1584" s="1"/>
      <c r="J1584" s="3"/>
      <c r="L1584" s="1"/>
    </row>
    <row r="1585" spans="1:12" x14ac:dyDescent="0.3">
      <c r="A1585" s="3"/>
      <c r="C1585" s="1"/>
      <c r="E1585" s="1"/>
      <c r="J1585" s="3"/>
      <c r="L1585" s="1"/>
    </row>
    <row r="1586" spans="1:12" x14ac:dyDescent="0.3">
      <c r="A1586" s="3"/>
      <c r="C1586" s="1"/>
      <c r="E1586" s="1"/>
      <c r="J1586" s="3"/>
      <c r="L1586" s="1"/>
    </row>
    <row r="1587" spans="1:12" x14ac:dyDescent="0.3">
      <c r="A1587" s="3"/>
      <c r="C1587" s="1"/>
      <c r="E1587" s="1"/>
      <c r="J1587" s="3"/>
      <c r="L1587" s="1"/>
    </row>
    <row r="1588" spans="1:12" x14ac:dyDescent="0.3">
      <c r="A1588" s="3"/>
      <c r="C1588" s="1"/>
      <c r="E1588" s="1"/>
      <c r="J1588" s="3"/>
      <c r="L1588" s="1"/>
    </row>
    <row r="1589" spans="1:12" x14ac:dyDescent="0.3">
      <c r="A1589" s="3"/>
      <c r="C1589" s="1"/>
      <c r="E1589" s="1"/>
      <c r="J1589" s="3"/>
      <c r="L1589" s="1"/>
    </row>
    <row r="1590" spans="1:12" x14ac:dyDescent="0.3">
      <c r="A1590" s="3"/>
      <c r="C1590" s="1"/>
      <c r="E1590" s="1"/>
      <c r="J1590" s="3"/>
      <c r="L1590" s="1"/>
    </row>
    <row r="1591" spans="1:12" x14ac:dyDescent="0.3">
      <c r="A1591" s="3"/>
      <c r="C1591" s="1"/>
      <c r="E1591" s="1"/>
      <c r="J1591" s="3"/>
      <c r="L1591" s="1"/>
    </row>
    <row r="1592" spans="1:12" x14ac:dyDescent="0.3">
      <c r="A1592" s="3"/>
      <c r="C1592" s="1"/>
      <c r="E1592" s="1"/>
      <c r="J1592" s="3"/>
      <c r="L1592" s="1"/>
    </row>
    <row r="1593" spans="1:12" x14ac:dyDescent="0.3">
      <c r="A1593" s="3"/>
      <c r="C1593" s="1"/>
      <c r="E1593" s="1"/>
      <c r="J1593" s="3"/>
      <c r="L1593" s="1"/>
    </row>
    <row r="1594" spans="1:12" x14ac:dyDescent="0.3">
      <c r="A1594" s="3"/>
      <c r="C1594" s="1"/>
      <c r="E1594" s="1"/>
      <c r="J1594" s="3"/>
      <c r="L1594" s="1"/>
    </row>
    <row r="1595" spans="1:12" x14ac:dyDescent="0.3">
      <c r="A1595" s="3"/>
      <c r="C1595" s="1"/>
      <c r="E1595" s="1"/>
      <c r="J1595" s="3"/>
      <c r="L1595" s="1"/>
    </row>
    <row r="1596" spans="1:12" x14ac:dyDescent="0.3">
      <c r="A1596" s="3"/>
      <c r="C1596" s="1"/>
      <c r="E1596" s="1"/>
      <c r="J1596" s="3"/>
      <c r="L1596" s="1"/>
    </row>
    <row r="1597" spans="1:12" x14ac:dyDescent="0.3">
      <c r="A1597" s="3"/>
      <c r="C1597" s="1"/>
      <c r="E1597" s="1"/>
      <c r="J1597" s="3"/>
      <c r="L1597" s="1"/>
    </row>
    <row r="1598" spans="1:12" x14ac:dyDescent="0.3">
      <c r="A1598" s="3"/>
      <c r="C1598" s="1"/>
      <c r="E1598" s="1"/>
      <c r="J1598" s="3"/>
      <c r="L1598" s="1"/>
    </row>
    <row r="1599" spans="1:12" x14ac:dyDescent="0.3">
      <c r="A1599" s="3"/>
      <c r="C1599" s="1"/>
      <c r="E1599" s="1"/>
      <c r="J1599" s="3"/>
      <c r="L1599" s="1"/>
    </row>
    <row r="1600" spans="1:12" x14ac:dyDescent="0.3">
      <c r="A1600" s="3"/>
      <c r="C1600" s="1"/>
      <c r="E1600" s="1"/>
      <c r="J1600" s="3"/>
      <c r="L1600" s="1"/>
    </row>
    <row r="1601" spans="1:12" x14ac:dyDescent="0.3">
      <c r="A1601" s="3"/>
      <c r="C1601" s="1"/>
      <c r="E1601" s="1"/>
      <c r="J1601" s="3"/>
      <c r="L1601" s="1"/>
    </row>
    <row r="1602" spans="1:12" x14ac:dyDescent="0.3">
      <c r="A1602" s="3"/>
      <c r="C1602" s="1"/>
      <c r="E1602" s="1"/>
      <c r="J1602" s="3"/>
      <c r="L1602" s="1"/>
    </row>
    <row r="1603" spans="1:12" x14ac:dyDescent="0.3">
      <c r="A1603" s="3"/>
      <c r="C1603" s="1"/>
      <c r="E1603" s="1"/>
      <c r="J1603" s="3"/>
      <c r="L1603" s="1"/>
    </row>
    <row r="1604" spans="1:12" x14ac:dyDescent="0.3">
      <c r="A1604" s="3"/>
      <c r="C1604" s="1"/>
      <c r="E1604" s="1"/>
      <c r="J1604" s="3"/>
      <c r="L1604" s="1"/>
    </row>
    <row r="1605" spans="1:12" x14ac:dyDescent="0.3">
      <c r="A1605" s="3"/>
      <c r="C1605" s="1"/>
      <c r="E1605" s="1"/>
      <c r="J1605" s="3"/>
      <c r="L1605" s="1"/>
    </row>
    <row r="1606" spans="1:12" x14ac:dyDescent="0.3">
      <c r="A1606" s="3"/>
      <c r="C1606" s="1"/>
      <c r="E1606" s="1"/>
      <c r="J1606" s="3"/>
      <c r="L1606" s="1"/>
    </row>
    <row r="1607" spans="1:12" x14ac:dyDescent="0.3">
      <c r="A1607" s="3"/>
      <c r="C1607" s="1"/>
      <c r="E1607" s="1"/>
      <c r="J1607" s="3"/>
      <c r="L1607" s="1"/>
    </row>
    <row r="1608" spans="1:12" x14ac:dyDescent="0.3">
      <c r="A1608" s="3"/>
      <c r="C1608" s="1"/>
      <c r="E1608" s="1"/>
      <c r="J1608" s="3"/>
      <c r="L1608" s="1"/>
    </row>
    <row r="1609" spans="1:12" x14ac:dyDescent="0.3">
      <c r="A1609" s="3"/>
      <c r="C1609" s="1"/>
      <c r="E1609" s="1"/>
      <c r="J1609" s="3"/>
      <c r="L1609" s="1"/>
    </row>
    <row r="1610" spans="1:12" x14ac:dyDescent="0.3">
      <c r="A1610" s="3"/>
      <c r="C1610" s="1"/>
      <c r="E1610" s="1"/>
      <c r="J1610" s="3"/>
      <c r="L1610" s="1"/>
    </row>
    <row r="1611" spans="1:12" x14ac:dyDescent="0.3">
      <c r="A1611" s="3"/>
      <c r="C1611" s="1"/>
      <c r="E1611" s="1"/>
      <c r="J1611" s="3"/>
      <c r="L1611" s="1"/>
    </row>
    <row r="1612" spans="1:12" x14ac:dyDescent="0.3">
      <c r="A1612" s="3"/>
      <c r="C1612" s="1"/>
      <c r="E1612" s="1"/>
      <c r="J1612" s="3"/>
      <c r="L1612" s="1"/>
    </row>
    <row r="1613" spans="1:12" x14ac:dyDescent="0.3">
      <c r="A1613" s="3"/>
      <c r="C1613" s="1"/>
      <c r="E1613" s="1"/>
      <c r="J1613" s="3"/>
      <c r="L1613" s="1"/>
    </row>
    <row r="1614" spans="1:12" x14ac:dyDescent="0.3">
      <c r="A1614" s="3"/>
      <c r="C1614" s="1"/>
      <c r="E1614" s="1"/>
      <c r="J1614" s="3"/>
      <c r="L1614" s="1"/>
    </row>
    <row r="1615" spans="1:12" x14ac:dyDescent="0.3">
      <c r="A1615" s="3"/>
      <c r="C1615" s="1"/>
      <c r="E1615" s="1"/>
      <c r="J1615" s="3"/>
      <c r="L1615" s="1"/>
    </row>
    <row r="1616" spans="1:12" x14ac:dyDescent="0.3">
      <c r="A1616" s="3"/>
      <c r="C1616" s="1"/>
      <c r="E1616" s="1"/>
      <c r="J1616" s="3"/>
      <c r="L1616" s="1"/>
    </row>
    <row r="1617" spans="1:12" x14ac:dyDescent="0.3">
      <c r="A1617" s="3"/>
      <c r="C1617" s="1"/>
      <c r="E1617" s="1"/>
      <c r="J1617" s="3"/>
      <c r="L1617" s="1"/>
    </row>
    <row r="1618" spans="1:12" x14ac:dyDescent="0.3">
      <c r="A1618" s="3"/>
      <c r="C1618" s="1"/>
      <c r="E1618" s="1"/>
      <c r="J1618" s="3"/>
      <c r="L1618" s="1"/>
    </row>
    <row r="1619" spans="1:12" x14ac:dyDescent="0.3">
      <c r="A1619" s="3"/>
      <c r="C1619" s="1"/>
      <c r="E1619" s="1"/>
      <c r="J1619" s="3"/>
      <c r="L1619" s="1"/>
    </row>
    <row r="1620" spans="1:12" x14ac:dyDescent="0.3">
      <c r="A1620" s="3"/>
      <c r="C1620" s="1"/>
      <c r="E1620" s="1"/>
      <c r="J1620" s="3"/>
      <c r="L1620" s="1"/>
    </row>
    <row r="1621" spans="1:12" x14ac:dyDescent="0.3">
      <c r="A1621" s="3"/>
      <c r="C1621" s="1"/>
      <c r="E1621" s="1"/>
      <c r="J1621" s="3"/>
      <c r="L1621" s="1"/>
    </row>
    <row r="1622" spans="1:12" x14ac:dyDescent="0.3">
      <c r="A1622" s="3"/>
      <c r="C1622" s="1"/>
      <c r="E1622" s="1"/>
      <c r="J1622" s="3"/>
      <c r="L1622" s="1"/>
    </row>
    <row r="1623" spans="1:12" x14ac:dyDescent="0.3">
      <c r="A1623" s="3"/>
      <c r="C1623" s="1"/>
      <c r="E1623" s="1"/>
      <c r="J1623" s="3"/>
      <c r="L1623" s="1"/>
    </row>
    <row r="1624" spans="1:12" x14ac:dyDescent="0.3">
      <c r="A1624" s="3"/>
      <c r="C1624" s="1"/>
      <c r="E1624" s="1"/>
      <c r="J1624" s="3"/>
      <c r="L1624" s="1"/>
    </row>
    <row r="1625" spans="1:12" x14ac:dyDescent="0.3">
      <c r="A1625" s="3"/>
      <c r="C1625" s="1"/>
      <c r="E1625" s="1"/>
      <c r="J1625" s="3"/>
      <c r="L1625" s="1"/>
    </row>
    <row r="1626" spans="1:12" x14ac:dyDescent="0.3">
      <c r="A1626" s="3"/>
      <c r="C1626" s="1"/>
      <c r="E1626" s="1"/>
      <c r="J1626" s="3"/>
      <c r="L1626" s="1"/>
    </row>
    <row r="1627" spans="1:12" x14ac:dyDescent="0.3">
      <c r="A1627" s="3"/>
      <c r="C1627" s="1"/>
      <c r="E1627" s="1"/>
      <c r="J1627" s="3"/>
      <c r="L1627" s="1"/>
    </row>
    <row r="1628" spans="1:12" x14ac:dyDescent="0.3">
      <c r="A1628" s="3"/>
      <c r="C1628" s="1"/>
      <c r="E1628" s="1"/>
      <c r="J1628" s="3"/>
      <c r="L1628" s="1"/>
    </row>
    <row r="1629" spans="1:12" x14ac:dyDescent="0.3">
      <c r="A1629" s="3"/>
      <c r="C1629" s="1"/>
      <c r="E1629" s="1"/>
      <c r="J1629" s="3"/>
      <c r="L1629" s="1"/>
    </row>
    <row r="1630" spans="1:12" x14ac:dyDescent="0.3">
      <c r="A1630" s="3"/>
      <c r="C1630" s="1"/>
      <c r="E1630" s="1"/>
      <c r="J1630" s="3"/>
      <c r="L1630" s="1"/>
    </row>
    <row r="1631" spans="1:12" x14ac:dyDescent="0.3">
      <c r="A1631" s="3"/>
      <c r="C1631" s="1"/>
      <c r="E1631" s="1"/>
      <c r="J1631" s="3"/>
      <c r="L1631" s="1"/>
    </row>
    <row r="1632" spans="1:12" x14ac:dyDescent="0.3">
      <c r="A1632" s="3"/>
      <c r="C1632" s="1"/>
      <c r="E1632" s="1"/>
      <c r="J1632" s="3"/>
      <c r="L1632" s="1"/>
    </row>
    <row r="1633" spans="1:12" x14ac:dyDescent="0.3">
      <c r="A1633" s="3"/>
      <c r="C1633" s="1"/>
      <c r="E1633" s="1"/>
      <c r="J1633" s="3"/>
      <c r="L1633" s="1"/>
    </row>
    <row r="1634" spans="1:12" x14ac:dyDescent="0.3">
      <c r="A1634" s="3"/>
      <c r="C1634" s="1"/>
      <c r="E1634" s="1"/>
      <c r="J1634" s="3"/>
      <c r="L1634" s="1"/>
    </row>
    <row r="1635" spans="1:12" x14ac:dyDescent="0.3">
      <c r="A1635" s="3"/>
      <c r="C1635" s="1"/>
      <c r="E1635" s="1"/>
      <c r="J1635" s="3"/>
      <c r="L1635" s="1"/>
    </row>
    <row r="1636" spans="1:12" x14ac:dyDescent="0.3">
      <c r="A1636" s="3"/>
      <c r="C1636" s="1"/>
      <c r="E1636" s="1"/>
      <c r="J1636" s="3"/>
      <c r="L1636" s="1"/>
    </row>
    <row r="1637" spans="1:12" x14ac:dyDescent="0.3">
      <c r="A1637" s="3"/>
      <c r="C1637" s="1"/>
      <c r="E1637" s="1"/>
      <c r="J1637" s="3"/>
      <c r="L1637" s="1"/>
    </row>
    <row r="1638" spans="1:12" x14ac:dyDescent="0.3">
      <c r="A1638" s="3"/>
      <c r="C1638" s="1"/>
      <c r="E1638" s="1"/>
      <c r="J1638" s="3"/>
      <c r="L1638" s="1"/>
    </row>
    <row r="1639" spans="1:12" x14ac:dyDescent="0.3">
      <c r="A1639" s="3"/>
      <c r="C1639" s="1"/>
      <c r="E1639" s="1"/>
      <c r="J1639" s="3"/>
      <c r="L1639" s="1"/>
    </row>
    <row r="1640" spans="1:12" x14ac:dyDescent="0.3">
      <c r="A1640" s="3"/>
      <c r="C1640" s="1"/>
      <c r="E1640" s="1"/>
      <c r="J1640" s="3"/>
      <c r="L1640" s="1"/>
    </row>
    <row r="1641" spans="1:12" x14ac:dyDescent="0.3">
      <c r="A1641" s="3"/>
      <c r="C1641" s="1"/>
      <c r="E1641" s="1"/>
      <c r="J1641" s="3"/>
      <c r="L1641" s="1"/>
    </row>
    <row r="1642" spans="1:12" x14ac:dyDescent="0.3">
      <c r="A1642" s="3"/>
      <c r="C1642" s="1"/>
      <c r="E1642" s="1"/>
      <c r="J1642" s="3"/>
      <c r="L1642" s="1"/>
    </row>
    <row r="1643" spans="1:12" x14ac:dyDescent="0.3">
      <c r="A1643" s="3"/>
      <c r="C1643" s="1"/>
      <c r="E1643" s="1"/>
      <c r="J1643" s="3"/>
      <c r="L1643" s="1"/>
    </row>
    <row r="1644" spans="1:12" x14ac:dyDescent="0.3">
      <c r="A1644" s="3"/>
      <c r="C1644" s="1"/>
      <c r="E1644" s="1"/>
      <c r="J1644" s="3"/>
      <c r="L1644" s="1"/>
    </row>
    <row r="1645" spans="1:12" x14ac:dyDescent="0.3">
      <c r="A1645" s="3"/>
      <c r="C1645" s="1"/>
      <c r="E1645" s="1"/>
      <c r="J1645" s="3"/>
      <c r="L1645" s="1"/>
    </row>
    <row r="1646" spans="1:12" x14ac:dyDescent="0.3">
      <c r="A1646" s="3"/>
      <c r="C1646" s="1"/>
      <c r="E1646" s="1"/>
      <c r="J1646" s="3"/>
      <c r="L1646" s="1"/>
    </row>
    <row r="1647" spans="1:12" x14ac:dyDescent="0.3">
      <c r="A1647" s="3"/>
      <c r="C1647" s="1"/>
      <c r="E1647" s="1"/>
      <c r="J1647" s="3"/>
      <c r="L1647" s="1"/>
    </row>
    <row r="1648" spans="1:12" x14ac:dyDescent="0.3">
      <c r="A1648" s="3"/>
      <c r="C1648" s="1"/>
      <c r="E1648" s="1"/>
      <c r="J1648" s="3"/>
      <c r="L1648" s="1"/>
    </row>
    <row r="1649" spans="1:12" x14ac:dyDescent="0.3">
      <c r="A1649" s="3"/>
      <c r="C1649" s="1"/>
      <c r="E1649" s="1"/>
      <c r="J1649" s="3"/>
      <c r="L1649" s="1"/>
    </row>
    <row r="1650" spans="1:12" x14ac:dyDescent="0.3">
      <c r="A1650" s="3"/>
      <c r="C1650" s="1"/>
      <c r="E1650" s="1"/>
      <c r="J1650" s="3"/>
      <c r="L1650" s="1"/>
    </row>
    <row r="1651" spans="1:12" x14ac:dyDescent="0.3">
      <c r="A1651" s="3"/>
      <c r="C1651" s="1"/>
      <c r="E1651" s="1"/>
      <c r="J1651" s="3"/>
      <c r="L1651" s="1"/>
    </row>
    <row r="1652" spans="1:12" x14ac:dyDescent="0.3">
      <c r="A1652" s="3"/>
      <c r="C1652" s="1"/>
      <c r="E1652" s="1"/>
      <c r="J1652" s="3"/>
      <c r="L1652" s="1"/>
    </row>
    <row r="1653" spans="1:12" x14ac:dyDescent="0.3">
      <c r="A1653" s="3"/>
      <c r="C1653" s="1"/>
      <c r="E1653" s="1"/>
      <c r="J1653" s="3"/>
      <c r="L1653" s="1"/>
    </row>
    <row r="1654" spans="1:12" x14ac:dyDescent="0.3">
      <c r="A1654" s="3"/>
      <c r="C1654" s="1"/>
      <c r="E1654" s="1"/>
      <c r="J1654" s="3"/>
      <c r="L1654" s="1"/>
    </row>
    <row r="1655" spans="1:12" x14ac:dyDescent="0.3">
      <c r="A1655" s="3"/>
      <c r="C1655" s="1"/>
      <c r="E1655" s="1"/>
      <c r="J1655" s="3"/>
      <c r="L1655" s="1"/>
    </row>
    <row r="1656" spans="1:12" x14ac:dyDescent="0.3">
      <c r="A1656" s="3"/>
      <c r="C1656" s="1"/>
      <c r="E1656" s="1"/>
      <c r="J1656" s="3"/>
      <c r="L1656" s="1"/>
    </row>
    <row r="1657" spans="1:12" x14ac:dyDescent="0.3">
      <c r="A1657" s="3"/>
      <c r="C1657" s="1"/>
      <c r="E1657" s="1"/>
      <c r="J1657" s="3"/>
      <c r="L1657" s="1"/>
    </row>
    <row r="1658" spans="1:12" x14ac:dyDescent="0.3">
      <c r="A1658" s="3"/>
      <c r="C1658" s="1"/>
      <c r="E1658" s="1"/>
      <c r="J1658" s="3"/>
      <c r="L1658" s="1"/>
    </row>
    <row r="1659" spans="1:12" x14ac:dyDescent="0.3">
      <c r="A1659" s="3"/>
      <c r="C1659" s="1"/>
      <c r="E1659" s="1"/>
      <c r="J1659" s="3"/>
      <c r="L1659" s="1"/>
    </row>
    <row r="1660" spans="1:12" x14ac:dyDescent="0.3">
      <c r="A1660" s="3"/>
      <c r="C1660" s="1"/>
      <c r="E1660" s="1"/>
      <c r="J1660" s="3"/>
      <c r="L1660" s="1"/>
    </row>
    <row r="1661" spans="1:12" x14ac:dyDescent="0.3">
      <c r="A1661" s="3"/>
      <c r="C1661" s="1"/>
      <c r="E1661" s="1"/>
      <c r="J1661" s="3"/>
      <c r="L1661" s="1"/>
    </row>
    <row r="1662" spans="1:12" x14ac:dyDescent="0.3">
      <c r="A1662" s="3"/>
      <c r="C1662" s="1"/>
      <c r="E1662" s="1"/>
      <c r="J1662" s="3"/>
      <c r="L1662" s="1"/>
    </row>
    <row r="1663" spans="1:12" x14ac:dyDescent="0.3">
      <c r="A1663" s="3"/>
      <c r="C1663" s="1"/>
      <c r="E1663" s="1"/>
      <c r="J1663" s="3"/>
      <c r="L1663" s="1"/>
    </row>
    <row r="1664" spans="1:12" x14ac:dyDescent="0.3">
      <c r="A1664" s="3"/>
      <c r="C1664" s="1"/>
      <c r="E1664" s="1"/>
      <c r="J1664" s="3"/>
      <c r="L1664" s="1"/>
    </row>
    <row r="1665" spans="1:12" x14ac:dyDescent="0.3">
      <c r="A1665" s="3"/>
      <c r="C1665" s="1"/>
      <c r="E1665" s="1"/>
      <c r="J1665" s="3"/>
      <c r="L1665" s="1"/>
    </row>
    <row r="1666" spans="1:12" x14ac:dyDescent="0.3">
      <c r="A1666" s="3"/>
      <c r="C1666" s="1"/>
      <c r="E1666" s="1"/>
      <c r="J1666" s="3"/>
      <c r="L1666" s="1"/>
    </row>
    <row r="1667" spans="1:12" x14ac:dyDescent="0.3">
      <c r="A1667" s="3"/>
      <c r="C1667" s="1"/>
      <c r="E1667" s="1"/>
      <c r="J1667" s="3"/>
      <c r="L1667" s="1"/>
    </row>
    <row r="1668" spans="1:12" x14ac:dyDescent="0.3">
      <c r="A1668" s="3"/>
      <c r="C1668" s="1"/>
      <c r="E1668" s="1"/>
      <c r="J1668" s="3"/>
      <c r="L1668" s="1"/>
    </row>
    <row r="1669" spans="1:12" x14ac:dyDescent="0.3">
      <c r="A1669" s="3"/>
      <c r="C1669" s="1"/>
      <c r="E1669" s="1"/>
      <c r="J1669" s="3"/>
      <c r="L1669" s="1"/>
    </row>
    <row r="1670" spans="1:12" x14ac:dyDescent="0.3">
      <c r="A1670" s="3"/>
      <c r="C1670" s="1"/>
      <c r="E1670" s="1"/>
      <c r="J1670" s="3"/>
      <c r="L1670" s="1"/>
    </row>
    <row r="1671" spans="1:12" x14ac:dyDescent="0.3">
      <c r="A1671" s="3"/>
      <c r="C1671" s="1"/>
      <c r="E1671" s="1"/>
      <c r="J1671" s="3"/>
      <c r="L1671" s="1"/>
    </row>
    <row r="1672" spans="1:12" x14ac:dyDescent="0.3">
      <c r="A1672" s="3"/>
      <c r="C1672" s="1"/>
      <c r="E1672" s="1"/>
      <c r="J1672" s="3"/>
      <c r="L1672" s="1"/>
    </row>
    <row r="1673" spans="1:12" x14ac:dyDescent="0.3">
      <c r="A1673" s="3"/>
      <c r="C1673" s="1"/>
      <c r="E1673" s="1"/>
      <c r="J1673" s="3"/>
      <c r="L1673" s="1"/>
    </row>
    <row r="1674" spans="1:12" x14ac:dyDescent="0.3">
      <c r="A1674" s="3"/>
      <c r="C1674" s="1"/>
      <c r="E1674" s="1"/>
      <c r="J1674" s="3"/>
      <c r="L1674" s="1"/>
    </row>
    <row r="1675" spans="1:12" x14ac:dyDescent="0.3">
      <c r="A1675" s="3"/>
      <c r="C1675" s="1"/>
      <c r="E1675" s="1"/>
      <c r="J1675" s="3"/>
      <c r="L1675" s="1"/>
    </row>
    <row r="1676" spans="1:12" x14ac:dyDescent="0.3">
      <c r="A1676" s="3"/>
      <c r="C1676" s="1"/>
      <c r="E1676" s="1"/>
      <c r="J1676" s="3"/>
      <c r="L1676" s="1"/>
    </row>
    <row r="1677" spans="1:12" x14ac:dyDescent="0.3">
      <c r="A1677" s="3"/>
      <c r="C1677" s="1"/>
      <c r="E1677" s="1"/>
      <c r="J1677" s="3"/>
      <c r="L1677" s="1"/>
    </row>
    <row r="1678" spans="1:12" x14ac:dyDescent="0.3">
      <c r="A1678" s="3"/>
      <c r="C1678" s="1"/>
      <c r="E1678" s="1"/>
      <c r="J1678" s="3"/>
      <c r="L1678" s="1"/>
    </row>
    <row r="1679" spans="1:12" x14ac:dyDescent="0.3">
      <c r="A1679" s="3"/>
      <c r="C1679" s="1"/>
      <c r="E1679" s="1"/>
      <c r="J1679" s="3"/>
      <c r="L1679" s="1"/>
    </row>
    <row r="1680" spans="1:12" x14ac:dyDescent="0.3">
      <c r="A1680" s="3"/>
      <c r="C1680" s="1"/>
      <c r="E1680" s="1"/>
      <c r="J1680" s="3"/>
      <c r="L1680" s="1"/>
    </row>
    <row r="1681" spans="1:12" x14ac:dyDescent="0.3">
      <c r="A1681" s="3"/>
      <c r="C1681" s="1"/>
      <c r="E1681" s="1"/>
      <c r="J1681" s="3"/>
      <c r="L1681" s="1"/>
    </row>
    <row r="1682" spans="1:12" x14ac:dyDescent="0.3">
      <c r="A1682" s="3"/>
      <c r="C1682" s="1"/>
      <c r="E1682" s="1"/>
      <c r="J1682" s="3"/>
      <c r="L1682" s="1"/>
    </row>
    <row r="1683" spans="1:12" x14ac:dyDescent="0.3">
      <c r="A1683" s="3"/>
      <c r="C1683" s="1"/>
      <c r="E1683" s="1"/>
      <c r="J1683" s="3"/>
      <c r="L1683" s="1"/>
    </row>
    <row r="1684" spans="1:12" x14ac:dyDescent="0.3">
      <c r="A1684" s="3"/>
      <c r="C1684" s="1"/>
      <c r="E1684" s="1"/>
      <c r="J1684" s="3"/>
      <c r="L1684" s="1"/>
    </row>
    <row r="1685" spans="1:12" x14ac:dyDescent="0.3">
      <c r="A1685" s="3"/>
      <c r="C1685" s="1"/>
      <c r="E1685" s="1"/>
      <c r="J1685" s="3"/>
      <c r="L1685" s="1"/>
    </row>
    <row r="1686" spans="1:12" x14ac:dyDescent="0.3">
      <c r="A1686" s="3"/>
      <c r="C1686" s="1"/>
      <c r="E1686" s="1"/>
      <c r="J1686" s="3"/>
      <c r="L1686" s="1"/>
    </row>
    <row r="1687" spans="1:12" x14ac:dyDescent="0.3">
      <c r="A1687" s="3"/>
      <c r="C1687" s="1"/>
      <c r="E1687" s="1"/>
      <c r="J1687" s="3"/>
      <c r="L1687" s="1"/>
    </row>
    <row r="1688" spans="1:12" x14ac:dyDescent="0.3">
      <c r="A1688" s="3"/>
      <c r="C1688" s="1"/>
      <c r="E1688" s="1"/>
      <c r="J1688" s="3"/>
      <c r="L1688" s="1"/>
    </row>
    <row r="1689" spans="1:12" x14ac:dyDescent="0.3">
      <c r="A1689" s="3"/>
      <c r="C1689" s="1"/>
      <c r="E1689" s="1"/>
      <c r="J1689" s="3"/>
      <c r="L1689" s="1"/>
    </row>
    <row r="1690" spans="1:12" x14ac:dyDescent="0.3">
      <c r="A1690" s="3"/>
      <c r="C1690" s="1"/>
      <c r="E1690" s="1"/>
      <c r="J1690" s="3"/>
      <c r="L1690" s="1"/>
    </row>
    <row r="1691" spans="1:12" x14ac:dyDescent="0.3">
      <c r="A1691" s="3"/>
      <c r="C1691" s="1"/>
      <c r="E1691" s="1"/>
      <c r="J1691" s="3"/>
      <c r="L1691" s="1"/>
    </row>
    <row r="1692" spans="1:12" x14ac:dyDescent="0.3">
      <c r="A1692" s="3"/>
      <c r="C1692" s="1"/>
      <c r="E1692" s="1"/>
      <c r="J1692" s="3"/>
      <c r="L1692" s="1"/>
    </row>
    <row r="1693" spans="1:12" x14ac:dyDescent="0.3">
      <c r="A1693" s="3"/>
      <c r="C1693" s="1"/>
      <c r="E1693" s="1"/>
      <c r="J1693" s="3"/>
      <c r="L1693" s="1"/>
    </row>
    <row r="1694" spans="1:12" x14ac:dyDescent="0.3">
      <c r="A1694" s="3"/>
      <c r="C1694" s="1"/>
      <c r="E1694" s="1"/>
      <c r="J1694" s="3"/>
      <c r="L1694" s="1"/>
    </row>
    <row r="1695" spans="1:12" x14ac:dyDescent="0.3">
      <c r="A1695" s="3"/>
      <c r="C1695" s="1"/>
      <c r="E1695" s="1"/>
      <c r="J1695" s="3"/>
      <c r="L1695" s="1"/>
    </row>
    <row r="1696" spans="1:12" x14ac:dyDescent="0.3">
      <c r="A1696" s="3"/>
      <c r="C1696" s="1"/>
      <c r="E1696" s="1"/>
      <c r="J1696" s="3"/>
      <c r="L1696" s="1"/>
    </row>
    <row r="1697" spans="1:12" x14ac:dyDescent="0.3">
      <c r="A1697" s="3"/>
      <c r="C1697" s="1"/>
      <c r="E1697" s="1"/>
      <c r="J1697" s="3"/>
      <c r="L1697" s="1"/>
    </row>
    <row r="1698" spans="1:12" x14ac:dyDescent="0.3">
      <c r="A1698" s="3"/>
      <c r="C1698" s="1"/>
      <c r="E1698" s="1"/>
      <c r="J1698" s="3"/>
      <c r="L1698" s="1"/>
    </row>
    <row r="1699" spans="1:12" x14ac:dyDescent="0.3">
      <c r="A1699" s="3"/>
      <c r="C1699" s="1"/>
      <c r="E1699" s="1"/>
      <c r="J1699" s="3"/>
      <c r="L1699" s="1"/>
    </row>
    <row r="1700" spans="1:12" x14ac:dyDescent="0.3">
      <c r="A1700" s="3"/>
      <c r="C1700" s="1"/>
      <c r="E1700" s="1"/>
      <c r="J1700" s="3"/>
      <c r="L1700" s="1"/>
    </row>
    <row r="1701" spans="1:12" x14ac:dyDescent="0.3">
      <c r="A1701" s="3"/>
      <c r="C1701" s="1"/>
      <c r="E1701" s="1"/>
      <c r="J1701" s="3"/>
      <c r="L1701" s="1"/>
    </row>
    <row r="1702" spans="1:12" x14ac:dyDescent="0.3">
      <c r="A1702" s="3"/>
      <c r="C1702" s="1"/>
      <c r="E1702" s="1"/>
      <c r="J1702" s="3"/>
      <c r="L1702" s="1"/>
    </row>
    <row r="1703" spans="1:12" x14ac:dyDescent="0.3">
      <c r="A1703" s="3"/>
      <c r="C1703" s="1"/>
      <c r="E1703" s="1"/>
      <c r="J1703" s="3"/>
      <c r="L1703" s="1"/>
    </row>
    <row r="1704" spans="1:12" x14ac:dyDescent="0.3">
      <c r="A1704" s="3"/>
      <c r="C1704" s="1"/>
      <c r="E1704" s="1"/>
      <c r="J1704" s="3"/>
      <c r="L1704" s="1"/>
    </row>
    <row r="1705" spans="1:12" x14ac:dyDescent="0.3">
      <c r="A1705" s="3"/>
      <c r="C1705" s="1"/>
      <c r="E1705" s="1"/>
      <c r="J1705" s="3"/>
      <c r="L1705" s="1"/>
    </row>
    <row r="1706" spans="1:12" x14ac:dyDescent="0.3">
      <c r="A1706" s="3"/>
      <c r="C1706" s="1"/>
      <c r="E1706" s="1"/>
      <c r="J1706" s="3"/>
      <c r="L1706" s="1"/>
    </row>
    <row r="1707" spans="1:12" x14ac:dyDescent="0.3">
      <c r="A1707" s="3"/>
      <c r="C1707" s="1"/>
      <c r="E1707" s="1"/>
      <c r="J1707" s="3"/>
      <c r="L1707" s="1"/>
    </row>
    <row r="1708" spans="1:12" x14ac:dyDescent="0.3">
      <c r="A1708" s="3"/>
      <c r="C1708" s="1"/>
      <c r="E1708" s="1"/>
      <c r="J1708" s="3"/>
      <c r="L1708" s="1"/>
    </row>
    <row r="1709" spans="1:12" x14ac:dyDescent="0.3">
      <c r="A1709" s="3"/>
      <c r="C1709" s="1"/>
      <c r="E1709" s="1"/>
      <c r="J1709" s="3"/>
      <c r="L1709" s="1"/>
    </row>
    <row r="1710" spans="1:12" x14ac:dyDescent="0.3">
      <c r="A1710" s="3"/>
      <c r="C1710" s="1"/>
      <c r="E1710" s="1"/>
      <c r="J1710" s="3"/>
      <c r="L1710" s="1"/>
    </row>
    <row r="1711" spans="1:12" x14ac:dyDescent="0.3">
      <c r="A1711" s="3"/>
      <c r="C1711" s="1"/>
      <c r="E1711" s="1"/>
      <c r="J1711" s="3"/>
      <c r="L1711" s="1"/>
    </row>
    <row r="1712" spans="1:12" x14ac:dyDescent="0.3">
      <c r="A1712" s="3"/>
      <c r="C1712" s="1"/>
      <c r="E1712" s="1"/>
      <c r="J1712" s="3"/>
      <c r="L1712" s="1"/>
    </row>
    <row r="1713" spans="1:12" x14ac:dyDescent="0.3">
      <c r="A1713" s="3"/>
      <c r="C1713" s="1"/>
      <c r="E1713" s="1"/>
      <c r="J1713" s="3"/>
      <c r="L1713" s="1"/>
    </row>
    <row r="1714" spans="1:12" x14ac:dyDescent="0.3">
      <c r="A1714" s="3"/>
      <c r="C1714" s="1"/>
      <c r="E1714" s="1"/>
      <c r="J1714" s="3"/>
      <c r="L1714" s="1"/>
    </row>
    <row r="1715" spans="1:12" x14ac:dyDescent="0.3">
      <c r="A1715" s="3"/>
      <c r="C1715" s="1"/>
      <c r="E1715" s="1"/>
      <c r="J1715" s="3"/>
      <c r="L1715" s="1"/>
    </row>
    <row r="1716" spans="1:12" x14ac:dyDescent="0.3">
      <c r="A1716" s="3"/>
      <c r="C1716" s="1"/>
      <c r="E1716" s="1"/>
      <c r="J1716" s="3"/>
      <c r="L1716" s="1"/>
    </row>
    <row r="1717" spans="1:12" x14ac:dyDescent="0.3">
      <c r="A1717" s="3"/>
      <c r="C1717" s="1"/>
      <c r="E1717" s="1"/>
      <c r="J1717" s="3"/>
      <c r="L1717" s="1"/>
    </row>
    <row r="1718" spans="1:12" x14ac:dyDescent="0.3">
      <c r="A1718" s="3"/>
      <c r="C1718" s="1"/>
      <c r="E1718" s="1"/>
      <c r="J1718" s="3"/>
      <c r="L1718" s="1"/>
    </row>
    <row r="1719" spans="1:12" x14ac:dyDescent="0.3">
      <c r="A1719" s="3"/>
      <c r="C1719" s="1"/>
      <c r="E1719" s="1"/>
      <c r="J1719" s="3"/>
      <c r="L1719" s="1"/>
    </row>
    <row r="1720" spans="1:12" x14ac:dyDescent="0.3">
      <c r="A1720" s="3"/>
      <c r="C1720" s="1"/>
      <c r="E1720" s="1"/>
      <c r="J1720" s="3"/>
      <c r="L1720" s="1"/>
    </row>
    <row r="1721" spans="1:12" x14ac:dyDescent="0.3">
      <c r="A1721" s="3"/>
      <c r="C1721" s="1"/>
      <c r="E1721" s="1"/>
      <c r="J1721" s="3"/>
      <c r="L1721" s="1"/>
    </row>
    <row r="1722" spans="1:12" x14ac:dyDescent="0.3">
      <c r="A1722" s="3"/>
      <c r="C1722" s="1"/>
      <c r="E1722" s="1"/>
      <c r="J1722" s="3"/>
      <c r="L1722" s="1"/>
    </row>
    <row r="1723" spans="1:12" x14ac:dyDescent="0.3">
      <c r="A1723" s="3"/>
      <c r="C1723" s="1"/>
      <c r="E1723" s="1"/>
      <c r="J1723" s="3"/>
      <c r="L1723" s="1"/>
    </row>
    <row r="1724" spans="1:12" x14ac:dyDescent="0.3">
      <c r="A1724" s="3"/>
      <c r="C1724" s="1"/>
      <c r="E1724" s="1"/>
      <c r="J1724" s="3"/>
      <c r="L1724" s="1"/>
    </row>
    <row r="1725" spans="1:12" x14ac:dyDescent="0.3">
      <c r="A1725" s="3"/>
      <c r="C1725" s="1"/>
      <c r="E1725" s="1"/>
      <c r="J1725" s="3"/>
      <c r="L1725" s="1"/>
    </row>
    <row r="1726" spans="1:12" x14ac:dyDescent="0.3">
      <c r="A1726" s="3"/>
      <c r="C1726" s="1"/>
      <c r="E1726" s="1"/>
      <c r="J1726" s="3"/>
      <c r="L1726" s="1"/>
    </row>
    <row r="1727" spans="1:12" x14ac:dyDescent="0.3">
      <c r="A1727" s="3"/>
      <c r="C1727" s="1"/>
      <c r="E1727" s="1"/>
      <c r="J1727" s="3"/>
      <c r="L1727" s="1"/>
    </row>
    <row r="1728" spans="1:12" x14ac:dyDescent="0.3">
      <c r="A1728" s="3"/>
      <c r="C1728" s="1"/>
      <c r="E1728" s="1"/>
      <c r="J1728" s="3"/>
      <c r="L1728" s="1"/>
    </row>
    <row r="1729" spans="1:12" x14ac:dyDescent="0.3">
      <c r="A1729" s="3"/>
      <c r="C1729" s="1"/>
      <c r="E1729" s="1"/>
      <c r="J1729" s="3"/>
      <c r="L1729" s="1"/>
    </row>
    <row r="1730" spans="1:12" x14ac:dyDescent="0.3">
      <c r="A1730" s="3"/>
      <c r="C1730" s="1"/>
      <c r="E1730" s="1"/>
      <c r="J1730" s="3"/>
      <c r="L1730" s="1"/>
    </row>
    <row r="1731" spans="1:12" x14ac:dyDescent="0.3">
      <c r="A1731" s="3"/>
      <c r="C1731" s="1"/>
      <c r="E1731" s="1"/>
      <c r="J1731" s="3"/>
      <c r="L1731" s="1"/>
    </row>
    <row r="1732" spans="1:12" x14ac:dyDescent="0.3">
      <c r="A1732" s="3"/>
      <c r="C1732" s="1"/>
      <c r="E1732" s="1"/>
      <c r="J1732" s="3"/>
      <c r="L1732" s="1"/>
    </row>
    <row r="1733" spans="1:12" x14ac:dyDescent="0.3">
      <c r="A1733" s="3"/>
      <c r="C1733" s="1"/>
      <c r="E1733" s="1"/>
      <c r="J1733" s="3"/>
      <c r="L1733" s="1"/>
    </row>
    <row r="1734" spans="1:12" x14ac:dyDescent="0.3">
      <c r="A1734" s="3"/>
      <c r="C1734" s="1"/>
      <c r="E1734" s="1"/>
      <c r="J1734" s="3"/>
      <c r="L1734" s="1"/>
    </row>
    <row r="1735" spans="1:12" x14ac:dyDescent="0.3">
      <c r="A1735" s="3"/>
      <c r="C1735" s="1"/>
      <c r="E1735" s="1"/>
      <c r="J1735" s="3"/>
      <c r="L1735" s="1"/>
    </row>
    <row r="1736" spans="1:12" x14ac:dyDescent="0.3">
      <c r="A1736" s="3"/>
      <c r="C1736" s="1"/>
      <c r="E1736" s="1"/>
      <c r="J1736" s="3"/>
      <c r="L1736" s="1"/>
    </row>
    <row r="1737" spans="1:12" x14ac:dyDescent="0.3">
      <c r="A1737" s="3"/>
      <c r="C1737" s="1"/>
      <c r="E1737" s="1"/>
      <c r="J1737" s="3"/>
      <c r="L1737" s="1"/>
    </row>
    <row r="1738" spans="1:12" x14ac:dyDescent="0.3">
      <c r="A1738" s="3"/>
      <c r="C1738" s="1"/>
      <c r="E1738" s="1"/>
      <c r="J1738" s="3"/>
      <c r="L1738" s="1"/>
    </row>
    <row r="1739" spans="1:12" x14ac:dyDescent="0.3">
      <c r="A1739" s="3"/>
      <c r="C1739" s="1"/>
      <c r="E1739" s="1"/>
      <c r="J1739" s="3"/>
      <c r="L1739" s="1"/>
    </row>
    <row r="1740" spans="1:12" x14ac:dyDescent="0.3">
      <c r="A1740" s="3"/>
      <c r="C1740" s="1"/>
      <c r="E1740" s="1"/>
      <c r="J1740" s="3"/>
      <c r="L1740" s="1"/>
    </row>
    <row r="1741" spans="1:12" x14ac:dyDescent="0.3">
      <c r="A1741" s="3"/>
      <c r="C1741" s="1"/>
      <c r="E1741" s="1"/>
      <c r="J1741" s="3"/>
      <c r="L1741" s="1"/>
    </row>
    <row r="1742" spans="1:12" x14ac:dyDescent="0.3">
      <c r="A1742" s="3"/>
      <c r="C1742" s="1"/>
      <c r="E1742" s="1"/>
      <c r="J1742" s="3"/>
      <c r="L1742" s="1"/>
    </row>
    <row r="1743" spans="1:12" x14ac:dyDescent="0.3">
      <c r="A1743" s="3"/>
      <c r="C1743" s="1"/>
      <c r="E1743" s="1"/>
      <c r="J1743" s="3"/>
      <c r="L1743" s="1"/>
    </row>
    <row r="1744" spans="1:12" x14ac:dyDescent="0.3">
      <c r="A1744" s="3"/>
      <c r="C1744" s="1"/>
      <c r="E1744" s="1"/>
      <c r="J1744" s="3"/>
      <c r="L1744" s="1"/>
    </row>
    <row r="1745" spans="1:12" x14ac:dyDescent="0.3">
      <c r="A1745" s="3"/>
      <c r="C1745" s="1"/>
      <c r="E1745" s="1"/>
      <c r="J1745" s="3"/>
      <c r="L1745" s="1"/>
    </row>
    <row r="1746" spans="1:12" x14ac:dyDescent="0.3">
      <c r="A1746" s="3"/>
      <c r="C1746" s="1"/>
      <c r="E1746" s="1"/>
      <c r="J1746" s="3"/>
      <c r="L1746" s="1"/>
    </row>
    <row r="1747" spans="1:12" x14ac:dyDescent="0.3">
      <c r="A1747" s="3"/>
      <c r="C1747" s="1"/>
      <c r="E1747" s="1"/>
      <c r="J1747" s="3"/>
      <c r="L1747" s="1"/>
    </row>
    <row r="1748" spans="1:12" x14ac:dyDescent="0.3">
      <c r="A1748" s="3"/>
      <c r="C1748" s="1"/>
      <c r="E1748" s="1"/>
      <c r="J1748" s="3"/>
      <c r="L1748" s="1"/>
    </row>
    <row r="1749" spans="1:12" x14ac:dyDescent="0.3">
      <c r="A1749" s="3"/>
      <c r="C1749" s="1"/>
      <c r="E1749" s="1"/>
      <c r="J1749" s="3"/>
      <c r="L1749" s="1"/>
    </row>
    <row r="1750" spans="1:12" x14ac:dyDescent="0.3">
      <c r="A1750" s="3"/>
      <c r="C1750" s="1"/>
      <c r="E1750" s="1"/>
      <c r="J1750" s="3"/>
      <c r="L1750" s="1"/>
    </row>
    <row r="1751" spans="1:12" x14ac:dyDescent="0.3">
      <c r="A1751" s="3"/>
      <c r="C1751" s="1"/>
      <c r="E1751" s="1"/>
      <c r="J1751" s="3"/>
      <c r="L1751" s="1"/>
    </row>
    <row r="1752" spans="1:12" x14ac:dyDescent="0.3">
      <c r="A1752" s="3"/>
      <c r="C1752" s="1"/>
      <c r="E1752" s="1"/>
      <c r="J1752" s="3"/>
      <c r="L1752" s="1"/>
    </row>
    <row r="1753" spans="1:12" x14ac:dyDescent="0.3">
      <c r="A1753" s="3"/>
      <c r="C1753" s="1"/>
      <c r="E1753" s="1"/>
      <c r="J1753" s="3"/>
      <c r="L1753" s="1"/>
    </row>
    <row r="1754" spans="1:12" x14ac:dyDescent="0.3">
      <c r="A1754" s="3"/>
      <c r="C1754" s="1"/>
      <c r="E1754" s="1"/>
      <c r="J1754" s="3"/>
      <c r="L1754" s="1"/>
    </row>
    <row r="1755" spans="1:12" x14ac:dyDescent="0.3">
      <c r="A1755" s="3"/>
      <c r="C1755" s="1"/>
      <c r="E1755" s="1"/>
      <c r="J1755" s="3"/>
      <c r="L1755" s="1"/>
    </row>
    <row r="1756" spans="1:12" x14ac:dyDescent="0.3">
      <c r="A1756" s="3"/>
      <c r="C1756" s="1"/>
      <c r="E1756" s="1"/>
      <c r="J1756" s="3"/>
      <c r="L1756" s="1"/>
    </row>
    <row r="1757" spans="1:12" x14ac:dyDescent="0.3">
      <c r="A1757" s="3"/>
      <c r="C1757" s="1"/>
      <c r="E1757" s="1"/>
      <c r="J1757" s="3"/>
      <c r="L1757" s="1"/>
    </row>
    <row r="1758" spans="1:12" x14ac:dyDescent="0.3">
      <c r="A1758" s="3"/>
      <c r="C1758" s="1"/>
      <c r="E1758" s="1"/>
      <c r="J1758" s="3"/>
      <c r="L1758" s="1"/>
    </row>
    <row r="1759" spans="1:12" x14ac:dyDescent="0.3">
      <c r="A1759" s="3"/>
      <c r="C1759" s="1"/>
      <c r="E1759" s="1"/>
      <c r="J1759" s="3"/>
      <c r="L1759" s="1"/>
    </row>
    <row r="1760" spans="1:12" x14ac:dyDescent="0.3">
      <c r="A1760" s="3"/>
      <c r="C1760" s="1"/>
      <c r="E1760" s="1"/>
      <c r="J1760" s="3"/>
      <c r="L1760" s="1"/>
    </row>
    <row r="1761" spans="1:12" x14ac:dyDescent="0.3">
      <c r="A1761" s="3"/>
      <c r="C1761" s="1"/>
      <c r="E1761" s="1"/>
      <c r="J1761" s="3"/>
      <c r="L1761" s="1"/>
    </row>
    <row r="1762" spans="1:12" x14ac:dyDescent="0.3">
      <c r="A1762" s="3"/>
      <c r="C1762" s="1"/>
      <c r="E1762" s="1"/>
      <c r="J1762" s="3"/>
      <c r="L1762" s="1"/>
    </row>
    <row r="1763" spans="1:12" x14ac:dyDescent="0.3">
      <c r="A1763" s="3"/>
      <c r="C1763" s="1"/>
      <c r="E1763" s="1"/>
      <c r="J1763" s="3"/>
      <c r="L1763" s="1"/>
    </row>
    <row r="1764" spans="1:12" x14ac:dyDescent="0.3">
      <c r="A1764" s="3"/>
      <c r="C1764" s="1"/>
      <c r="E1764" s="1"/>
      <c r="J1764" s="3"/>
      <c r="L1764" s="1"/>
    </row>
    <row r="1765" spans="1:12" x14ac:dyDescent="0.3">
      <c r="A1765" s="3"/>
      <c r="C1765" s="1"/>
      <c r="E1765" s="1"/>
      <c r="J1765" s="3"/>
      <c r="L1765" s="1"/>
    </row>
    <row r="1766" spans="1:12" x14ac:dyDescent="0.3">
      <c r="A1766" s="3"/>
      <c r="C1766" s="1"/>
      <c r="E1766" s="1"/>
      <c r="J1766" s="3"/>
      <c r="L1766" s="1"/>
    </row>
    <row r="1767" spans="1:12" x14ac:dyDescent="0.3">
      <c r="A1767" s="3"/>
      <c r="C1767" s="1"/>
      <c r="E1767" s="1"/>
      <c r="J1767" s="3"/>
      <c r="L1767" s="1"/>
    </row>
    <row r="1768" spans="1:12" x14ac:dyDescent="0.3">
      <c r="A1768" s="3"/>
      <c r="C1768" s="1"/>
      <c r="E1768" s="1"/>
      <c r="J1768" s="3"/>
      <c r="L1768" s="1"/>
    </row>
    <row r="1769" spans="1:12" x14ac:dyDescent="0.3">
      <c r="A1769" s="3"/>
      <c r="C1769" s="1"/>
      <c r="E1769" s="1"/>
      <c r="J1769" s="3"/>
      <c r="L1769" s="1"/>
    </row>
    <row r="1770" spans="1:12" x14ac:dyDescent="0.3">
      <c r="A1770" s="3"/>
      <c r="C1770" s="1"/>
      <c r="E1770" s="1"/>
      <c r="J1770" s="3"/>
      <c r="L1770" s="1"/>
    </row>
    <row r="1771" spans="1:12" x14ac:dyDescent="0.3">
      <c r="A1771" s="3"/>
      <c r="C1771" s="1"/>
      <c r="E1771" s="1"/>
      <c r="J1771" s="3"/>
      <c r="L1771" s="1"/>
    </row>
    <row r="1772" spans="1:12" x14ac:dyDescent="0.3">
      <c r="A1772" s="3"/>
      <c r="C1772" s="1"/>
      <c r="E1772" s="1"/>
      <c r="J1772" s="3"/>
      <c r="L1772" s="1"/>
    </row>
    <row r="1773" spans="1:12" x14ac:dyDescent="0.3">
      <c r="A1773" s="3"/>
      <c r="C1773" s="1"/>
      <c r="E1773" s="1"/>
      <c r="J1773" s="3"/>
      <c r="L1773" s="1"/>
    </row>
    <row r="1774" spans="1:12" x14ac:dyDescent="0.3">
      <c r="A1774" s="3"/>
      <c r="C1774" s="1"/>
      <c r="E1774" s="1"/>
      <c r="J1774" s="3"/>
      <c r="L1774" s="1"/>
    </row>
    <row r="1775" spans="1:12" x14ac:dyDescent="0.3">
      <c r="A1775" s="3"/>
      <c r="C1775" s="1"/>
      <c r="E1775" s="1"/>
      <c r="J1775" s="3"/>
      <c r="L1775" s="1"/>
    </row>
    <row r="1776" spans="1:12" x14ac:dyDescent="0.3">
      <c r="A1776" s="3"/>
      <c r="C1776" s="1"/>
      <c r="E1776" s="1"/>
      <c r="J1776" s="3"/>
      <c r="L1776" s="1"/>
    </row>
    <row r="1777" spans="1:12" x14ac:dyDescent="0.3">
      <c r="A1777" s="3"/>
      <c r="C1777" s="1"/>
      <c r="E1777" s="1"/>
      <c r="J1777" s="3"/>
      <c r="L1777" s="1"/>
    </row>
    <row r="1778" spans="1:12" x14ac:dyDescent="0.3">
      <c r="A1778" s="3"/>
      <c r="C1778" s="1"/>
      <c r="E1778" s="1"/>
      <c r="J1778" s="3"/>
      <c r="L1778" s="1"/>
    </row>
    <row r="1779" spans="1:12" x14ac:dyDescent="0.3">
      <c r="A1779" s="3"/>
      <c r="C1779" s="1"/>
      <c r="E1779" s="1"/>
      <c r="J1779" s="3"/>
      <c r="L1779" s="1"/>
    </row>
    <row r="1780" spans="1:12" x14ac:dyDescent="0.3">
      <c r="A1780" s="3"/>
      <c r="C1780" s="1"/>
      <c r="E1780" s="1"/>
      <c r="J1780" s="3"/>
      <c r="L1780" s="1"/>
    </row>
    <row r="1781" spans="1:12" x14ac:dyDescent="0.3">
      <c r="A1781" s="3"/>
      <c r="C1781" s="1"/>
      <c r="E1781" s="1"/>
      <c r="J1781" s="3"/>
      <c r="L1781" s="1"/>
    </row>
    <row r="1782" spans="1:12" x14ac:dyDescent="0.3">
      <c r="A1782" s="3"/>
      <c r="C1782" s="1"/>
      <c r="E1782" s="1"/>
      <c r="J1782" s="3"/>
      <c r="L1782" s="1"/>
    </row>
    <row r="1783" spans="1:12" x14ac:dyDescent="0.3">
      <c r="A1783" s="3"/>
      <c r="C1783" s="1"/>
      <c r="E1783" s="1"/>
      <c r="J1783" s="3"/>
      <c r="L1783" s="1"/>
    </row>
    <row r="1784" spans="1:12" x14ac:dyDescent="0.3">
      <c r="A1784" s="3"/>
      <c r="C1784" s="1"/>
      <c r="E1784" s="1"/>
      <c r="J1784" s="3"/>
      <c r="L1784" s="1"/>
    </row>
    <row r="1785" spans="1:12" x14ac:dyDescent="0.3">
      <c r="A1785" s="3"/>
      <c r="C1785" s="1"/>
      <c r="E1785" s="1"/>
      <c r="J1785" s="3"/>
      <c r="L1785" s="1"/>
    </row>
    <row r="1786" spans="1:12" x14ac:dyDescent="0.3">
      <c r="A1786" s="3"/>
      <c r="C1786" s="1"/>
      <c r="E1786" s="1"/>
      <c r="J1786" s="3"/>
      <c r="L1786" s="1"/>
    </row>
    <row r="1787" spans="1:12" x14ac:dyDescent="0.3">
      <c r="A1787" s="3"/>
      <c r="C1787" s="1"/>
      <c r="E1787" s="1"/>
      <c r="J1787" s="3"/>
      <c r="L1787" s="1"/>
    </row>
    <row r="1788" spans="1:12" x14ac:dyDescent="0.3">
      <c r="A1788" s="3"/>
      <c r="C1788" s="1"/>
      <c r="E1788" s="1"/>
      <c r="J1788" s="3"/>
      <c r="L1788" s="1"/>
    </row>
    <row r="1789" spans="1:12" x14ac:dyDescent="0.3">
      <c r="A1789" s="3"/>
      <c r="C1789" s="1"/>
      <c r="E1789" s="1"/>
      <c r="J1789" s="3"/>
      <c r="L1789" s="1"/>
    </row>
    <row r="1790" spans="1:12" x14ac:dyDescent="0.3">
      <c r="A1790" s="3"/>
      <c r="C1790" s="1"/>
      <c r="E1790" s="1"/>
      <c r="J1790" s="3"/>
      <c r="L1790" s="1"/>
    </row>
    <row r="1791" spans="1:12" x14ac:dyDescent="0.3">
      <c r="A1791" s="3"/>
      <c r="C1791" s="1"/>
      <c r="E1791" s="1"/>
      <c r="J1791" s="3"/>
      <c r="L1791" s="1"/>
    </row>
    <row r="1792" spans="1:12" x14ac:dyDescent="0.3">
      <c r="A1792" s="3"/>
      <c r="C1792" s="1"/>
      <c r="E1792" s="1"/>
      <c r="J1792" s="3"/>
      <c r="L1792" s="1"/>
    </row>
    <row r="1793" spans="1:12" x14ac:dyDescent="0.3">
      <c r="A1793" s="3"/>
      <c r="C1793" s="1"/>
      <c r="E1793" s="1"/>
      <c r="J1793" s="3"/>
      <c r="L1793" s="1"/>
    </row>
    <row r="1794" spans="1:12" x14ac:dyDescent="0.3">
      <c r="A1794" s="3"/>
      <c r="C1794" s="1"/>
      <c r="E1794" s="1"/>
      <c r="J1794" s="3"/>
      <c r="L1794" s="1"/>
    </row>
    <row r="1795" spans="1:12" x14ac:dyDescent="0.3">
      <c r="A1795" s="3"/>
      <c r="C1795" s="1"/>
      <c r="E1795" s="1"/>
      <c r="J1795" s="3"/>
      <c r="L1795" s="1"/>
    </row>
    <row r="1796" spans="1:12" x14ac:dyDescent="0.3">
      <c r="A1796" s="3"/>
      <c r="C1796" s="1"/>
      <c r="E1796" s="1"/>
      <c r="J1796" s="3"/>
      <c r="L1796" s="1"/>
    </row>
    <row r="1797" spans="1:12" x14ac:dyDescent="0.3">
      <c r="A1797" s="3"/>
      <c r="C1797" s="1"/>
      <c r="E1797" s="1"/>
      <c r="J1797" s="3"/>
      <c r="L1797" s="1"/>
    </row>
    <row r="1798" spans="1:12" x14ac:dyDescent="0.3">
      <c r="A1798" s="3"/>
      <c r="C1798" s="1"/>
      <c r="E1798" s="1"/>
      <c r="J1798" s="3"/>
      <c r="L1798" s="1"/>
    </row>
    <row r="1799" spans="1:12" x14ac:dyDescent="0.3">
      <c r="A1799" s="3"/>
      <c r="C1799" s="1"/>
      <c r="E1799" s="1"/>
      <c r="J1799" s="3"/>
      <c r="L1799" s="1"/>
    </row>
    <row r="1800" spans="1:12" x14ac:dyDescent="0.3">
      <c r="A1800" s="3"/>
      <c r="C1800" s="1"/>
      <c r="E1800" s="1"/>
      <c r="J1800" s="3"/>
      <c r="L1800" s="1"/>
    </row>
    <row r="1801" spans="1:12" x14ac:dyDescent="0.3">
      <c r="A1801" s="3"/>
      <c r="C1801" s="1"/>
      <c r="E1801" s="1"/>
      <c r="J1801" s="3"/>
      <c r="L1801" s="1"/>
    </row>
    <row r="1802" spans="1:12" x14ac:dyDescent="0.3">
      <c r="A1802" s="3"/>
      <c r="C1802" s="1"/>
      <c r="E1802" s="1"/>
      <c r="J1802" s="3"/>
      <c r="L1802" s="1"/>
    </row>
    <row r="1803" spans="1:12" x14ac:dyDescent="0.3">
      <c r="A1803" s="3"/>
      <c r="C1803" s="1"/>
      <c r="E1803" s="1"/>
      <c r="J1803" s="3"/>
      <c r="L1803" s="1"/>
    </row>
    <row r="1804" spans="1:12" x14ac:dyDescent="0.3">
      <c r="A1804" s="3"/>
      <c r="C1804" s="1"/>
      <c r="E1804" s="1"/>
      <c r="J1804" s="3"/>
      <c r="L1804" s="1"/>
    </row>
    <row r="1805" spans="1:12" x14ac:dyDescent="0.3">
      <c r="A1805" s="3"/>
      <c r="C1805" s="1"/>
      <c r="E1805" s="1"/>
      <c r="J1805" s="3"/>
      <c r="L1805" s="1"/>
    </row>
    <row r="1806" spans="1:12" x14ac:dyDescent="0.3">
      <c r="A1806" s="3"/>
      <c r="C1806" s="1"/>
      <c r="E1806" s="1"/>
      <c r="J1806" s="3"/>
      <c r="L1806" s="1"/>
    </row>
    <row r="1807" spans="1:12" x14ac:dyDescent="0.3">
      <c r="A1807" s="3"/>
      <c r="C1807" s="1"/>
      <c r="E1807" s="1"/>
      <c r="J1807" s="3"/>
      <c r="L1807" s="1"/>
    </row>
    <row r="1808" spans="1:12" x14ac:dyDescent="0.3">
      <c r="A1808" s="3"/>
      <c r="C1808" s="1"/>
      <c r="E1808" s="1"/>
      <c r="J1808" s="3"/>
      <c r="L1808" s="1"/>
    </row>
    <row r="1809" spans="1:12" x14ac:dyDescent="0.3">
      <c r="A1809" s="3"/>
      <c r="C1809" s="1"/>
      <c r="E1809" s="1"/>
      <c r="J1809" s="3"/>
      <c r="L1809" s="1"/>
    </row>
    <row r="1810" spans="1:12" x14ac:dyDescent="0.3">
      <c r="A1810" s="3"/>
      <c r="C1810" s="1"/>
      <c r="E1810" s="1"/>
      <c r="J1810" s="3"/>
      <c r="L1810" s="1"/>
    </row>
    <row r="1811" spans="1:12" x14ac:dyDescent="0.3">
      <c r="A1811" s="3"/>
      <c r="C1811" s="1"/>
      <c r="E1811" s="1"/>
      <c r="J1811" s="3"/>
      <c r="L1811" s="1"/>
    </row>
    <row r="1812" spans="1:12" x14ac:dyDescent="0.3">
      <c r="A1812" s="3"/>
      <c r="C1812" s="1"/>
      <c r="E1812" s="1"/>
      <c r="J1812" s="3"/>
      <c r="L1812" s="1"/>
    </row>
    <row r="1813" spans="1:12" x14ac:dyDescent="0.3">
      <c r="A1813" s="3"/>
      <c r="C1813" s="1"/>
      <c r="E1813" s="1"/>
      <c r="J1813" s="3"/>
      <c r="L1813" s="1"/>
    </row>
    <row r="1814" spans="1:12" x14ac:dyDescent="0.3">
      <c r="A1814" s="3"/>
      <c r="C1814" s="1"/>
      <c r="E1814" s="1"/>
      <c r="J1814" s="3"/>
      <c r="L1814" s="1"/>
    </row>
    <row r="1815" spans="1:12" x14ac:dyDescent="0.3">
      <c r="A1815" s="3"/>
      <c r="C1815" s="1"/>
      <c r="E1815" s="1"/>
      <c r="J1815" s="3"/>
      <c r="L1815" s="1"/>
    </row>
    <row r="1816" spans="1:12" x14ac:dyDescent="0.3">
      <c r="A1816" s="3"/>
      <c r="C1816" s="1"/>
      <c r="E1816" s="1"/>
      <c r="J1816" s="3"/>
      <c r="L1816" s="1"/>
    </row>
    <row r="1817" spans="1:12" x14ac:dyDescent="0.3">
      <c r="A1817" s="3"/>
      <c r="C1817" s="1"/>
      <c r="E1817" s="1"/>
      <c r="J1817" s="3"/>
      <c r="L1817" s="1"/>
    </row>
    <row r="1818" spans="1:12" x14ac:dyDescent="0.3">
      <c r="A1818" s="3"/>
      <c r="C1818" s="1"/>
      <c r="E1818" s="1"/>
      <c r="J1818" s="3"/>
      <c r="L1818" s="1"/>
    </row>
    <row r="1819" spans="1:12" x14ac:dyDescent="0.3">
      <c r="A1819" s="3"/>
      <c r="C1819" s="1"/>
      <c r="E1819" s="1"/>
      <c r="J1819" s="3"/>
      <c r="L1819" s="1"/>
    </row>
    <row r="1820" spans="1:12" x14ac:dyDescent="0.3">
      <c r="A1820" s="3"/>
      <c r="C1820" s="1"/>
      <c r="E1820" s="1"/>
      <c r="J1820" s="3"/>
      <c r="L1820" s="1"/>
    </row>
    <row r="1821" spans="1:12" x14ac:dyDescent="0.3">
      <c r="A1821" s="3"/>
      <c r="C1821" s="1"/>
      <c r="E1821" s="1"/>
      <c r="J1821" s="3"/>
      <c r="L1821" s="1"/>
    </row>
    <row r="1822" spans="1:12" x14ac:dyDescent="0.3">
      <c r="A1822" s="3"/>
      <c r="C1822" s="1"/>
      <c r="E1822" s="1"/>
      <c r="J1822" s="3"/>
      <c r="L1822" s="1"/>
    </row>
    <row r="1823" spans="1:12" x14ac:dyDescent="0.3">
      <c r="A1823" s="3"/>
      <c r="C1823" s="1"/>
      <c r="E1823" s="1"/>
      <c r="J1823" s="3"/>
      <c r="L1823" s="1"/>
    </row>
    <row r="1824" spans="1:12" x14ac:dyDescent="0.3">
      <c r="A1824" s="3"/>
      <c r="C1824" s="1"/>
      <c r="E1824" s="1"/>
      <c r="J1824" s="3"/>
      <c r="L1824" s="1"/>
    </row>
    <row r="1825" spans="1:12" x14ac:dyDescent="0.3">
      <c r="A1825" s="3"/>
      <c r="C1825" s="1"/>
      <c r="E1825" s="1"/>
      <c r="J1825" s="3"/>
      <c r="L1825" s="1"/>
    </row>
    <row r="1826" spans="1:12" x14ac:dyDescent="0.3">
      <c r="A1826" s="3"/>
      <c r="C1826" s="1"/>
      <c r="E1826" s="1"/>
      <c r="J1826" s="3"/>
      <c r="L1826" s="1"/>
    </row>
    <row r="1827" spans="1:12" x14ac:dyDescent="0.3">
      <c r="A1827" s="3"/>
      <c r="C1827" s="1"/>
      <c r="E1827" s="1"/>
      <c r="J1827" s="3"/>
      <c r="L1827" s="1"/>
    </row>
    <row r="1828" spans="1:12" x14ac:dyDescent="0.3">
      <c r="A1828" s="3"/>
      <c r="C1828" s="1"/>
      <c r="E1828" s="1"/>
      <c r="J1828" s="3"/>
      <c r="L1828" s="1"/>
    </row>
    <row r="1829" spans="1:12" x14ac:dyDescent="0.3">
      <c r="A1829" s="3"/>
      <c r="C1829" s="1"/>
      <c r="E1829" s="1"/>
      <c r="J1829" s="3"/>
      <c r="L1829" s="1"/>
    </row>
    <row r="1830" spans="1:12" x14ac:dyDescent="0.3">
      <c r="A1830" s="3"/>
      <c r="C1830" s="1"/>
      <c r="E1830" s="1"/>
      <c r="J1830" s="3"/>
      <c r="L1830" s="1"/>
    </row>
    <row r="1831" spans="1:12" x14ac:dyDescent="0.3">
      <c r="A1831" s="3"/>
      <c r="C1831" s="1"/>
      <c r="E1831" s="1"/>
      <c r="J1831" s="3"/>
      <c r="L1831" s="1"/>
    </row>
    <row r="1832" spans="1:12" x14ac:dyDescent="0.3">
      <c r="A1832" s="3"/>
      <c r="C1832" s="1"/>
      <c r="E1832" s="1"/>
      <c r="J1832" s="3"/>
      <c r="L1832" s="1"/>
    </row>
    <row r="1833" spans="1:12" x14ac:dyDescent="0.3">
      <c r="A1833" s="3"/>
      <c r="C1833" s="1"/>
      <c r="E1833" s="1"/>
      <c r="J1833" s="3"/>
      <c r="L1833" s="1"/>
    </row>
    <row r="1834" spans="1:12" x14ac:dyDescent="0.3">
      <c r="A1834" s="3"/>
      <c r="C1834" s="1"/>
      <c r="E1834" s="1"/>
      <c r="J1834" s="3"/>
      <c r="L1834" s="1"/>
    </row>
    <row r="1835" spans="1:12" x14ac:dyDescent="0.3">
      <c r="A1835" s="3"/>
      <c r="C1835" s="1"/>
      <c r="E1835" s="1"/>
      <c r="J1835" s="3"/>
      <c r="L1835" s="1"/>
    </row>
    <row r="1836" spans="1:12" x14ac:dyDescent="0.3">
      <c r="A1836" s="3"/>
      <c r="C1836" s="1"/>
      <c r="E1836" s="1"/>
      <c r="J1836" s="3"/>
      <c r="L1836" s="1"/>
    </row>
    <row r="1837" spans="1:12" x14ac:dyDescent="0.3">
      <c r="A1837" s="3"/>
      <c r="C1837" s="1"/>
      <c r="E1837" s="1"/>
      <c r="J1837" s="3"/>
      <c r="L1837" s="1"/>
    </row>
    <row r="1838" spans="1:12" x14ac:dyDescent="0.3">
      <c r="A1838" s="3"/>
      <c r="C1838" s="1"/>
      <c r="E1838" s="1"/>
      <c r="J1838" s="3"/>
      <c r="L1838" s="1"/>
    </row>
    <row r="1839" spans="1:12" x14ac:dyDescent="0.3">
      <c r="A1839" s="3"/>
      <c r="C1839" s="1"/>
      <c r="E1839" s="1"/>
      <c r="J1839" s="3"/>
      <c r="L1839" s="1"/>
    </row>
    <row r="1840" spans="1:12" x14ac:dyDescent="0.3">
      <c r="A1840" s="3"/>
      <c r="C1840" s="1"/>
      <c r="E1840" s="1"/>
      <c r="J1840" s="3"/>
      <c r="L1840" s="1"/>
    </row>
    <row r="1841" spans="1:12" x14ac:dyDescent="0.3">
      <c r="A1841" s="3"/>
      <c r="C1841" s="1"/>
      <c r="E1841" s="1"/>
      <c r="J1841" s="3"/>
      <c r="L1841" s="1"/>
    </row>
    <row r="1842" spans="1:12" x14ac:dyDescent="0.3">
      <c r="A1842" s="3"/>
      <c r="C1842" s="1"/>
      <c r="E1842" s="1"/>
      <c r="J1842" s="3"/>
      <c r="L1842" s="1"/>
    </row>
    <row r="1843" spans="1:12" x14ac:dyDescent="0.3">
      <c r="A1843" s="3"/>
      <c r="C1843" s="1"/>
      <c r="E1843" s="1"/>
      <c r="J1843" s="3"/>
      <c r="L1843" s="1"/>
    </row>
    <row r="1844" spans="1:12" x14ac:dyDescent="0.3">
      <c r="A1844" s="3"/>
      <c r="C1844" s="1"/>
      <c r="E1844" s="1"/>
      <c r="J1844" s="3"/>
      <c r="L1844" s="1"/>
    </row>
    <row r="1845" spans="1:12" x14ac:dyDescent="0.3">
      <c r="A1845" s="3"/>
      <c r="C1845" s="1"/>
      <c r="E1845" s="1"/>
      <c r="J1845" s="3"/>
      <c r="L1845" s="1"/>
    </row>
    <row r="1846" spans="1:12" x14ac:dyDescent="0.3">
      <c r="A1846" s="3"/>
      <c r="C1846" s="1"/>
      <c r="E1846" s="1"/>
      <c r="J1846" s="3"/>
      <c r="L1846" s="1"/>
    </row>
    <row r="1847" spans="1:12" x14ac:dyDescent="0.3">
      <c r="A1847" s="3"/>
      <c r="C1847" s="1"/>
      <c r="E1847" s="1"/>
      <c r="J1847" s="3"/>
      <c r="L1847" s="1"/>
    </row>
    <row r="1848" spans="1:12" x14ac:dyDescent="0.3">
      <c r="A1848" s="3"/>
      <c r="C1848" s="1"/>
      <c r="E1848" s="1"/>
      <c r="J1848" s="3"/>
      <c r="L1848" s="1"/>
    </row>
    <row r="1849" spans="1:12" x14ac:dyDescent="0.3">
      <c r="A1849" s="3"/>
      <c r="C1849" s="1"/>
      <c r="E1849" s="1"/>
      <c r="J1849" s="3"/>
      <c r="L1849" s="1"/>
    </row>
    <row r="1850" spans="1:12" x14ac:dyDescent="0.3">
      <c r="A1850" s="3"/>
      <c r="C1850" s="1"/>
      <c r="E1850" s="1"/>
      <c r="J1850" s="3"/>
      <c r="L1850" s="1"/>
    </row>
    <row r="1851" spans="1:12" x14ac:dyDescent="0.3">
      <c r="A1851" s="3"/>
      <c r="C1851" s="1"/>
      <c r="E1851" s="1"/>
      <c r="J1851" s="3"/>
      <c r="L1851" s="1"/>
    </row>
    <row r="1852" spans="1:12" x14ac:dyDescent="0.3">
      <c r="A1852" s="3"/>
      <c r="C1852" s="1"/>
      <c r="E1852" s="1"/>
      <c r="J1852" s="3"/>
      <c r="L1852" s="1"/>
    </row>
    <row r="1853" spans="1:12" x14ac:dyDescent="0.3">
      <c r="A1853" s="3"/>
      <c r="C1853" s="1"/>
      <c r="E1853" s="1"/>
      <c r="J1853" s="3"/>
      <c r="L1853" s="1"/>
    </row>
    <row r="1854" spans="1:12" x14ac:dyDescent="0.3">
      <c r="A1854" s="3"/>
      <c r="C1854" s="1"/>
      <c r="E1854" s="1"/>
      <c r="J1854" s="3"/>
      <c r="L1854" s="1"/>
    </row>
    <row r="1855" spans="1:12" x14ac:dyDescent="0.3">
      <c r="A1855" s="3"/>
      <c r="C1855" s="1"/>
      <c r="E1855" s="1"/>
      <c r="J1855" s="3"/>
      <c r="L1855" s="1"/>
    </row>
    <row r="1856" spans="1:12" x14ac:dyDescent="0.3">
      <c r="A1856" s="3"/>
      <c r="C1856" s="1"/>
      <c r="E1856" s="1"/>
      <c r="J1856" s="3"/>
      <c r="L1856" s="1"/>
    </row>
    <row r="1857" spans="1:12" x14ac:dyDescent="0.3">
      <c r="A1857" s="3"/>
      <c r="C1857" s="1"/>
      <c r="E1857" s="1"/>
      <c r="J1857" s="3"/>
      <c r="L1857" s="1"/>
    </row>
    <row r="1858" spans="1:12" x14ac:dyDescent="0.3">
      <c r="A1858" s="3"/>
      <c r="C1858" s="1"/>
      <c r="E1858" s="1"/>
      <c r="J1858" s="3"/>
      <c r="L1858" s="1"/>
    </row>
    <row r="1859" spans="1:12" x14ac:dyDescent="0.3">
      <c r="A1859" s="3"/>
      <c r="C1859" s="1"/>
      <c r="E1859" s="1"/>
      <c r="J1859" s="3"/>
      <c r="L1859" s="1"/>
    </row>
    <row r="1860" spans="1:12" x14ac:dyDescent="0.3">
      <c r="A1860" s="3"/>
      <c r="C1860" s="1"/>
      <c r="E1860" s="1"/>
      <c r="J1860" s="3"/>
      <c r="L1860" s="1"/>
    </row>
    <row r="1861" spans="1:12" x14ac:dyDescent="0.3">
      <c r="A1861" s="3"/>
      <c r="C1861" s="1"/>
      <c r="E1861" s="1"/>
      <c r="J1861" s="3"/>
      <c r="L1861" s="1"/>
    </row>
    <row r="1862" spans="1:12" x14ac:dyDescent="0.3">
      <c r="A1862" s="3"/>
      <c r="C1862" s="1"/>
      <c r="E1862" s="1"/>
      <c r="J1862" s="3"/>
      <c r="L1862" s="1"/>
    </row>
    <row r="1863" spans="1:12" x14ac:dyDescent="0.3">
      <c r="A1863" s="3"/>
      <c r="C1863" s="1"/>
      <c r="E1863" s="1"/>
      <c r="J1863" s="3"/>
      <c r="L1863" s="1"/>
    </row>
    <row r="1864" spans="1:12" x14ac:dyDescent="0.3">
      <c r="A1864" s="3"/>
      <c r="C1864" s="1"/>
      <c r="E1864" s="1"/>
      <c r="J1864" s="3"/>
      <c r="L1864" s="1"/>
    </row>
    <row r="1865" spans="1:12" x14ac:dyDescent="0.3">
      <c r="A1865" s="3"/>
      <c r="C1865" s="1"/>
      <c r="E1865" s="1"/>
      <c r="J1865" s="3"/>
      <c r="L1865" s="1"/>
    </row>
    <row r="1866" spans="1:12" x14ac:dyDescent="0.3">
      <c r="A1866" s="3"/>
      <c r="C1866" s="1"/>
      <c r="E1866" s="1"/>
      <c r="J1866" s="3"/>
      <c r="L1866" s="1"/>
    </row>
    <row r="1867" spans="1:12" x14ac:dyDescent="0.3">
      <c r="A1867" s="3"/>
      <c r="C1867" s="1"/>
      <c r="E1867" s="1"/>
      <c r="J1867" s="3"/>
      <c r="L1867" s="1"/>
    </row>
    <row r="1868" spans="1:12" x14ac:dyDescent="0.3">
      <c r="A1868" s="3"/>
      <c r="C1868" s="1"/>
      <c r="E1868" s="1"/>
      <c r="J1868" s="3"/>
      <c r="L1868" s="1"/>
    </row>
    <row r="1869" spans="1:12" x14ac:dyDescent="0.3">
      <c r="A1869" s="3"/>
      <c r="C1869" s="1"/>
      <c r="E1869" s="1"/>
      <c r="J1869" s="3"/>
      <c r="L1869" s="1"/>
    </row>
    <row r="1870" spans="1:12" x14ac:dyDescent="0.3">
      <c r="A1870" s="3"/>
      <c r="C1870" s="1"/>
      <c r="E1870" s="1"/>
      <c r="J1870" s="3"/>
      <c r="L1870" s="1"/>
    </row>
    <row r="1871" spans="1:12" x14ac:dyDescent="0.3">
      <c r="A1871" s="3"/>
      <c r="C1871" s="1"/>
      <c r="E1871" s="1"/>
      <c r="J1871" s="3"/>
      <c r="L1871" s="1"/>
    </row>
    <row r="1872" spans="1:12" x14ac:dyDescent="0.3">
      <c r="A1872" s="3"/>
      <c r="C1872" s="1"/>
      <c r="E1872" s="1"/>
      <c r="J1872" s="3"/>
      <c r="L1872" s="1"/>
    </row>
    <row r="1873" spans="1:12" x14ac:dyDescent="0.3">
      <c r="A1873" s="3"/>
      <c r="C1873" s="1"/>
      <c r="E1873" s="1"/>
      <c r="J1873" s="3"/>
      <c r="L1873" s="1"/>
    </row>
    <row r="1874" spans="1:12" x14ac:dyDescent="0.3">
      <c r="A1874" s="3"/>
      <c r="C1874" s="1"/>
      <c r="E1874" s="1"/>
      <c r="J1874" s="3"/>
      <c r="L1874" s="1"/>
    </row>
    <row r="1875" spans="1:12" x14ac:dyDescent="0.3">
      <c r="A1875" s="3"/>
      <c r="C1875" s="1"/>
      <c r="E1875" s="1"/>
      <c r="J1875" s="3"/>
      <c r="L1875" s="1"/>
    </row>
    <row r="1876" spans="1:12" x14ac:dyDescent="0.3">
      <c r="A1876" s="3"/>
      <c r="C1876" s="1"/>
      <c r="E1876" s="1"/>
      <c r="J1876" s="3"/>
      <c r="L1876" s="1"/>
    </row>
    <row r="1877" spans="1:12" x14ac:dyDescent="0.3">
      <c r="A1877" s="3"/>
      <c r="C1877" s="1"/>
      <c r="E1877" s="1"/>
      <c r="J1877" s="3"/>
      <c r="L1877" s="1"/>
    </row>
    <row r="1878" spans="1:12" x14ac:dyDescent="0.3">
      <c r="A1878" s="3"/>
      <c r="C1878" s="1"/>
      <c r="E1878" s="1"/>
      <c r="J1878" s="3"/>
      <c r="L1878" s="1"/>
    </row>
    <row r="1879" spans="1:12" x14ac:dyDescent="0.3">
      <c r="A1879" s="3"/>
      <c r="C1879" s="1"/>
      <c r="E1879" s="1"/>
      <c r="J1879" s="3"/>
      <c r="L1879" s="1"/>
    </row>
    <row r="1880" spans="1:12" x14ac:dyDescent="0.3">
      <c r="A1880" s="3"/>
      <c r="C1880" s="1"/>
      <c r="E1880" s="1"/>
      <c r="J1880" s="3"/>
      <c r="L1880" s="1"/>
    </row>
    <row r="1881" spans="1:12" x14ac:dyDescent="0.3">
      <c r="A1881" s="3"/>
      <c r="C1881" s="1"/>
      <c r="E1881" s="1"/>
      <c r="J1881" s="3"/>
      <c r="L1881" s="1"/>
    </row>
    <row r="1882" spans="1:12" x14ac:dyDescent="0.3">
      <c r="A1882" s="3"/>
      <c r="C1882" s="1"/>
      <c r="E1882" s="1"/>
      <c r="J1882" s="3"/>
      <c r="L1882" s="1"/>
    </row>
    <row r="1883" spans="1:12" x14ac:dyDescent="0.3">
      <c r="A1883" s="3"/>
      <c r="C1883" s="1"/>
      <c r="E1883" s="1"/>
      <c r="J1883" s="3"/>
      <c r="L1883" s="1"/>
    </row>
    <row r="1884" spans="1:12" x14ac:dyDescent="0.3">
      <c r="A1884" s="3"/>
      <c r="C1884" s="1"/>
      <c r="E1884" s="1"/>
      <c r="J1884" s="3"/>
      <c r="L1884" s="1"/>
    </row>
    <row r="1885" spans="1:12" x14ac:dyDescent="0.3">
      <c r="A1885" s="3"/>
      <c r="C1885" s="1"/>
      <c r="E1885" s="1"/>
      <c r="J1885" s="3"/>
      <c r="L1885" s="1"/>
    </row>
    <row r="1886" spans="1:12" x14ac:dyDescent="0.3">
      <c r="A1886" s="3"/>
      <c r="C1886" s="1"/>
      <c r="E1886" s="1"/>
      <c r="J1886" s="3"/>
      <c r="L1886" s="1"/>
    </row>
    <row r="1887" spans="1:12" x14ac:dyDescent="0.3">
      <c r="A1887" s="3"/>
      <c r="C1887" s="1"/>
      <c r="E1887" s="1"/>
      <c r="J1887" s="3"/>
      <c r="L1887" s="1"/>
    </row>
    <row r="1888" spans="1:12" x14ac:dyDescent="0.3">
      <c r="A1888" s="3"/>
      <c r="C1888" s="1"/>
      <c r="E1888" s="1"/>
      <c r="J1888" s="3"/>
      <c r="L1888" s="1"/>
    </row>
    <row r="1889" spans="1:12" x14ac:dyDescent="0.3">
      <c r="A1889" s="3"/>
      <c r="C1889" s="1"/>
      <c r="E1889" s="1"/>
      <c r="J1889" s="3"/>
      <c r="L1889" s="1"/>
    </row>
    <row r="1890" spans="1:12" x14ac:dyDescent="0.3">
      <c r="A1890" s="3"/>
      <c r="C1890" s="1"/>
      <c r="E1890" s="1"/>
      <c r="J1890" s="3"/>
      <c r="L1890" s="1"/>
    </row>
    <row r="1891" spans="1:12" x14ac:dyDescent="0.3">
      <c r="A1891" s="3"/>
      <c r="C1891" s="1"/>
      <c r="E1891" s="1"/>
      <c r="J1891" s="3"/>
      <c r="L1891" s="1"/>
    </row>
    <row r="1892" spans="1:12" x14ac:dyDescent="0.3">
      <c r="A1892" s="3"/>
      <c r="C1892" s="1"/>
      <c r="E1892" s="1"/>
      <c r="J1892" s="3"/>
      <c r="L1892" s="1"/>
    </row>
    <row r="1893" spans="1:12" x14ac:dyDescent="0.3">
      <c r="A1893" s="3"/>
      <c r="C1893" s="1"/>
      <c r="E1893" s="1"/>
      <c r="J1893" s="3"/>
      <c r="L1893" s="1"/>
    </row>
    <row r="1894" spans="1:12" x14ac:dyDescent="0.3">
      <c r="A1894" s="3"/>
      <c r="C1894" s="1"/>
      <c r="E1894" s="1"/>
      <c r="J1894" s="3"/>
      <c r="L1894" s="1"/>
    </row>
    <row r="1895" spans="1:12" x14ac:dyDescent="0.3">
      <c r="A1895" s="3"/>
      <c r="C1895" s="1"/>
      <c r="E1895" s="1"/>
      <c r="J1895" s="3"/>
      <c r="L1895" s="1"/>
    </row>
    <row r="1896" spans="1:12" x14ac:dyDescent="0.3">
      <c r="A1896" s="3"/>
      <c r="C1896" s="1"/>
      <c r="E1896" s="1"/>
      <c r="J1896" s="3"/>
      <c r="L1896" s="1"/>
    </row>
    <row r="1897" spans="1:12" x14ac:dyDescent="0.3">
      <c r="A1897" s="3"/>
      <c r="C1897" s="1"/>
      <c r="E1897" s="1"/>
      <c r="J1897" s="3"/>
      <c r="L1897" s="1"/>
    </row>
    <row r="1898" spans="1:12" x14ac:dyDescent="0.3">
      <c r="A1898" s="3"/>
      <c r="C1898" s="1"/>
      <c r="E1898" s="1"/>
      <c r="J1898" s="3"/>
      <c r="L1898" s="1"/>
    </row>
    <row r="1899" spans="1:12" x14ac:dyDescent="0.3">
      <c r="A1899" s="3"/>
      <c r="C1899" s="1"/>
      <c r="E1899" s="1"/>
      <c r="J1899" s="3"/>
      <c r="L1899" s="1"/>
    </row>
    <row r="1900" spans="1:12" x14ac:dyDescent="0.3">
      <c r="A1900" s="3"/>
      <c r="C1900" s="1"/>
      <c r="E1900" s="1"/>
      <c r="J1900" s="3"/>
      <c r="L1900" s="1"/>
    </row>
    <row r="1901" spans="1:12" x14ac:dyDescent="0.3">
      <c r="A1901" s="3"/>
      <c r="C1901" s="1"/>
      <c r="E1901" s="1"/>
      <c r="J1901" s="3"/>
      <c r="L1901" s="1"/>
    </row>
    <row r="1902" spans="1:12" x14ac:dyDescent="0.3">
      <c r="A1902" s="3"/>
      <c r="C1902" s="1"/>
      <c r="E1902" s="1"/>
      <c r="J1902" s="3"/>
      <c r="L1902" s="1"/>
    </row>
    <row r="1903" spans="1:12" x14ac:dyDescent="0.3">
      <c r="A1903" s="3"/>
      <c r="C1903" s="1"/>
      <c r="E1903" s="1"/>
      <c r="J1903" s="3"/>
      <c r="L1903" s="1"/>
    </row>
    <row r="1904" spans="1:12" x14ac:dyDescent="0.3">
      <c r="A1904" s="3"/>
      <c r="C1904" s="1"/>
      <c r="E1904" s="1"/>
      <c r="J1904" s="3"/>
      <c r="L1904" s="1"/>
    </row>
    <row r="1905" spans="1:12" x14ac:dyDescent="0.3">
      <c r="A1905" s="3"/>
      <c r="C1905" s="1"/>
      <c r="E1905" s="1"/>
      <c r="J1905" s="3"/>
      <c r="L1905" s="1"/>
    </row>
    <row r="1906" spans="1:12" x14ac:dyDescent="0.3">
      <c r="A1906" s="3"/>
      <c r="C1906" s="1"/>
      <c r="E1906" s="1"/>
      <c r="J1906" s="3"/>
      <c r="L1906" s="1"/>
    </row>
    <row r="1907" spans="1:12" x14ac:dyDescent="0.3">
      <c r="A1907" s="3"/>
      <c r="C1907" s="1"/>
      <c r="E1907" s="1"/>
      <c r="J1907" s="3"/>
      <c r="L1907" s="1"/>
    </row>
    <row r="1908" spans="1:12" x14ac:dyDescent="0.3">
      <c r="A1908" s="3"/>
      <c r="C1908" s="1"/>
      <c r="E1908" s="1"/>
      <c r="J1908" s="3"/>
      <c r="L1908" s="1"/>
    </row>
    <row r="1909" spans="1:12" x14ac:dyDescent="0.3">
      <c r="A1909" s="3"/>
      <c r="C1909" s="1"/>
      <c r="E1909" s="1"/>
      <c r="J1909" s="3"/>
      <c r="L1909" s="1"/>
    </row>
    <row r="1910" spans="1:12" x14ac:dyDescent="0.3">
      <c r="A1910" s="3"/>
      <c r="C1910" s="1"/>
      <c r="E1910" s="1"/>
      <c r="J1910" s="3"/>
      <c r="L1910" s="1"/>
    </row>
    <row r="1911" spans="1:12" x14ac:dyDescent="0.3">
      <c r="A1911" s="3"/>
      <c r="C1911" s="1"/>
      <c r="E1911" s="1"/>
      <c r="J1911" s="3"/>
      <c r="L1911" s="1"/>
    </row>
    <row r="1912" spans="1:12" x14ac:dyDescent="0.3">
      <c r="A1912" s="3"/>
      <c r="C1912" s="1"/>
      <c r="E1912" s="1"/>
      <c r="J1912" s="3"/>
      <c r="L1912" s="1"/>
    </row>
    <row r="1913" spans="1:12" x14ac:dyDescent="0.3">
      <c r="A1913" s="3"/>
      <c r="C1913" s="1"/>
      <c r="E1913" s="1"/>
      <c r="J1913" s="3"/>
      <c r="L1913" s="1"/>
    </row>
    <row r="1914" spans="1:12" x14ac:dyDescent="0.3">
      <c r="A1914" s="3"/>
      <c r="C1914" s="1"/>
      <c r="E1914" s="1"/>
      <c r="J1914" s="3"/>
      <c r="L1914" s="1"/>
    </row>
    <row r="1915" spans="1:12" x14ac:dyDescent="0.3">
      <c r="A1915" s="3"/>
      <c r="C1915" s="1"/>
      <c r="E1915" s="1"/>
      <c r="J1915" s="3"/>
      <c r="L1915" s="1"/>
    </row>
    <row r="1916" spans="1:12" x14ac:dyDescent="0.3">
      <c r="A1916" s="3"/>
      <c r="C1916" s="1"/>
      <c r="E1916" s="1"/>
      <c r="J1916" s="3"/>
      <c r="L1916" s="1"/>
    </row>
    <row r="1917" spans="1:12" x14ac:dyDescent="0.3">
      <c r="A1917" s="3"/>
      <c r="C1917" s="1"/>
      <c r="E1917" s="1"/>
      <c r="J1917" s="3"/>
      <c r="L1917" s="1"/>
    </row>
    <row r="1918" spans="1:12" x14ac:dyDescent="0.3">
      <c r="A1918" s="3"/>
      <c r="C1918" s="1"/>
      <c r="E1918" s="1"/>
      <c r="J1918" s="3"/>
      <c r="L1918" s="1"/>
    </row>
    <row r="1919" spans="1:12" x14ac:dyDescent="0.3">
      <c r="A1919" s="3"/>
      <c r="C1919" s="1"/>
      <c r="E1919" s="1"/>
      <c r="J1919" s="3"/>
      <c r="L1919" s="1"/>
    </row>
    <row r="1920" spans="1:12" x14ac:dyDescent="0.3">
      <c r="A1920" s="3"/>
      <c r="C1920" s="1"/>
      <c r="E1920" s="1"/>
      <c r="J1920" s="3"/>
      <c r="L1920" s="1"/>
    </row>
    <row r="1921" spans="1:12" x14ac:dyDescent="0.3">
      <c r="A1921" s="3"/>
      <c r="C1921" s="1"/>
      <c r="E1921" s="1"/>
      <c r="J1921" s="3"/>
      <c r="L1921" s="1"/>
    </row>
    <row r="1922" spans="1:12" x14ac:dyDescent="0.3">
      <c r="A1922" s="3"/>
      <c r="C1922" s="1"/>
      <c r="E1922" s="1"/>
      <c r="J1922" s="3"/>
      <c r="L1922" s="1"/>
    </row>
    <row r="1923" spans="1:12" x14ac:dyDescent="0.3">
      <c r="A1923" s="3"/>
      <c r="C1923" s="1"/>
      <c r="E1923" s="1"/>
      <c r="J1923" s="3"/>
      <c r="L1923" s="1"/>
    </row>
    <row r="1924" spans="1:12" x14ac:dyDescent="0.3">
      <c r="A1924" s="3"/>
      <c r="C1924" s="1"/>
      <c r="E1924" s="1"/>
      <c r="J1924" s="3"/>
      <c r="L1924" s="1"/>
    </row>
    <row r="1925" spans="1:12" x14ac:dyDescent="0.3">
      <c r="A1925" s="3"/>
      <c r="C1925" s="1"/>
      <c r="E1925" s="1"/>
      <c r="J1925" s="3"/>
      <c r="L1925" s="1"/>
    </row>
    <row r="1926" spans="1:12" x14ac:dyDescent="0.3">
      <c r="A1926" s="3"/>
      <c r="C1926" s="1"/>
      <c r="E1926" s="1"/>
      <c r="J1926" s="3"/>
      <c r="L1926" s="1"/>
    </row>
    <row r="1927" spans="1:12" x14ac:dyDescent="0.3">
      <c r="A1927" s="3"/>
      <c r="C1927" s="1"/>
      <c r="E1927" s="1"/>
      <c r="J1927" s="3"/>
      <c r="L1927" s="1"/>
    </row>
    <row r="1928" spans="1:12" x14ac:dyDescent="0.3">
      <c r="A1928" s="3"/>
      <c r="C1928" s="1"/>
      <c r="E1928" s="1"/>
      <c r="J1928" s="3"/>
      <c r="L1928" s="1"/>
    </row>
    <row r="1929" spans="1:12" x14ac:dyDescent="0.3">
      <c r="A1929" s="3"/>
      <c r="C1929" s="1"/>
      <c r="E1929" s="1"/>
      <c r="J1929" s="3"/>
      <c r="L1929" s="1"/>
    </row>
    <row r="1930" spans="1:12" x14ac:dyDescent="0.3">
      <c r="A1930" s="3"/>
      <c r="C1930" s="1"/>
      <c r="E1930" s="1"/>
      <c r="J1930" s="3"/>
      <c r="L1930" s="1"/>
    </row>
    <row r="1931" spans="1:12" x14ac:dyDescent="0.3">
      <c r="A1931" s="3"/>
      <c r="C1931" s="1"/>
      <c r="E1931" s="1"/>
      <c r="J1931" s="3"/>
      <c r="L1931" s="1"/>
    </row>
    <row r="1932" spans="1:12" x14ac:dyDescent="0.3">
      <c r="A1932" s="3"/>
      <c r="C1932" s="1"/>
      <c r="E1932" s="1"/>
      <c r="J1932" s="3"/>
      <c r="L1932" s="1"/>
    </row>
    <row r="1933" spans="1:12" x14ac:dyDescent="0.3">
      <c r="A1933" s="3"/>
      <c r="C1933" s="1"/>
      <c r="E1933" s="1"/>
      <c r="J1933" s="3"/>
      <c r="L1933" s="1"/>
    </row>
    <row r="1934" spans="1:12" x14ac:dyDescent="0.3">
      <c r="A1934" s="3"/>
      <c r="C1934" s="1"/>
      <c r="E1934" s="1"/>
      <c r="J1934" s="3"/>
      <c r="L1934" s="1"/>
    </row>
    <row r="1935" spans="1:12" x14ac:dyDescent="0.3">
      <c r="A1935" s="3"/>
      <c r="C1935" s="1"/>
      <c r="E1935" s="1"/>
      <c r="J1935" s="3"/>
      <c r="L1935" s="1"/>
    </row>
    <row r="1936" spans="1:12" x14ac:dyDescent="0.3">
      <c r="A1936" s="3"/>
      <c r="C1936" s="1"/>
      <c r="E1936" s="1"/>
      <c r="J1936" s="3"/>
      <c r="L1936" s="1"/>
    </row>
    <row r="1937" spans="1:12" x14ac:dyDescent="0.3">
      <c r="A1937" s="3"/>
      <c r="C1937" s="1"/>
      <c r="E1937" s="1"/>
      <c r="J1937" s="3"/>
      <c r="L1937" s="1"/>
    </row>
    <row r="1938" spans="1:12" x14ac:dyDescent="0.3">
      <c r="A1938" s="3"/>
      <c r="C1938" s="1"/>
      <c r="E1938" s="1"/>
      <c r="J1938" s="3"/>
      <c r="L1938" s="1"/>
    </row>
    <row r="1939" spans="1:12" x14ac:dyDescent="0.3">
      <c r="A1939" s="3"/>
      <c r="C1939" s="1"/>
      <c r="E1939" s="1"/>
      <c r="J1939" s="3"/>
      <c r="L1939" s="1"/>
    </row>
    <row r="1940" spans="1:12" x14ac:dyDescent="0.3">
      <c r="A1940" s="3"/>
      <c r="C1940" s="1"/>
      <c r="E1940" s="1"/>
      <c r="J1940" s="3"/>
      <c r="L1940" s="1"/>
    </row>
    <row r="1941" spans="1:12" x14ac:dyDescent="0.3">
      <c r="A1941" s="3"/>
      <c r="C1941" s="1"/>
      <c r="E1941" s="1"/>
      <c r="J1941" s="3"/>
      <c r="L1941" s="1"/>
    </row>
    <row r="1942" spans="1:12" x14ac:dyDescent="0.3">
      <c r="A1942" s="3"/>
      <c r="C1942" s="1"/>
      <c r="E1942" s="1"/>
      <c r="J1942" s="3"/>
      <c r="L1942" s="1"/>
    </row>
    <row r="1943" spans="1:12" x14ac:dyDescent="0.3">
      <c r="A1943" s="3"/>
      <c r="C1943" s="1"/>
      <c r="E1943" s="1"/>
      <c r="J1943" s="3"/>
      <c r="L1943" s="1"/>
    </row>
    <row r="1944" spans="1:12" x14ac:dyDescent="0.3">
      <c r="A1944" s="3"/>
      <c r="C1944" s="1"/>
      <c r="E1944" s="1"/>
      <c r="J1944" s="3"/>
      <c r="L1944" s="1"/>
    </row>
    <row r="1945" spans="1:12" x14ac:dyDescent="0.3">
      <c r="A1945" s="3"/>
      <c r="C1945" s="1"/>
      <c r="E1945" s="1"/>
      <c r="J1945" s="3"/>
      <c r="L1945" s="1"/>
    </row>
    <row r="1946" spans="1:12" x14ac:dyDescent="0.3">
      <c r="A1946" s="3"/>
      <c r="C1946" s="1"/>
      <c r="E1946" s="1"/>
      <c r="J1946" s="3"/>
      <c r="L1946" s="1"/>
    </row>
    <row r="1947" spans="1:12" x14ac:dyDescent="0.3">
      <c r="A1947" s="3"/>
      <c r="C1947" s="1"/>
      <c r="E1947" s="1"/>
      <c r="J1947" s="3"/>
      <c r="L1947" s="1"/>
    </row>
    <row r="1948" spans="1:12" x14ac:dyDescent="0.3">
      <c r="A1948" s="3"/>
      <c r="C1948" s="1"/>
      <c r="E1948" s="1"/>
      <c r="J1948" s="3"/>
      <c r="L1948" s="1"/>
    </row>
    <row r="1949" spans="1:12" x14ac:dyDescent="0.3">
      <c r="A1949" s="3"/>
      <c r="C1949" s="1"/>
      <c r="E1949" s="1"/>
      <c r="J1949" s="3"/>
      <c r="L1949" s="1"/>
    </row>
    <row r="1950" spans="1:12" x14ac:dyDescent="0.3">
      <c r="A1950" s="3"/>
      <c r="C1950" s="1"/>
      <c r="E1950" s="1"/>
      <c r="J1950" s="3"/>
      <c r="L1950" s="1"/>
    </row>
    <row r="1951" spans="1:12" x14ac:dyDescent="0.3">
      <c r="A1951" s="3"/>
      <c r="C1951" s="1"/>
      <c r="E1951" s="1"/>
      <c r="J1951" s="3"/>
      <c r="L1951" s="1"/>
    </row>
    <row r="1952" spans="1:12" x14ac:dyDescent="0.3">
      <c r="A1952" s="3"/>
      <c r="C1952" s="1"/>
      <c r="E1952" s="1"/>
      <c r="J1952" s="3"/>
      <c r="L1952" s="1"/>
    </row>
    <row r="1953" spans="1:12" x14ac:dyDescent="0.3">
      <c r="A1953" s="3"/>
      <c r="C1953" s="1"/>
      <c r="E1953" s="1"/>
      <c r="J1953" s="3"/>
      <c r="L1953" s="1"/>
    </row>
    <row r="1954" spans="1:12" x14ac:dyDescent="0.3">
      <c r="A1954" s="3"/>
      <c r="C1954" s="1"/>
      <c r="E1954" s="1"/>
      <c r="J1954" s="3"/>
      <c r="L1954" s="1"/>
    </row>
    <row r="1955" spans="1:12" x14ac:dyDescent="0.3">
      <c r="A1955" s="3"/>
      <c r="C1955" s="1"/>
      <c r="E1955" s="1"/>
      <c r="J1955" s="3"/>
      <c r="L1955" s="1"/>
    </row>
    <row r="1956" spans="1:12" x14ac:dyDescent="0.3">
      <c r="A1956" s="3"/>
      <c r="C1956" s="1"/>
      <c r="E1956" s="1"/>
      <c r="J1956" s="3"/>
      <c r="L1956" s="1"/>
    </row>
    <row r="1957" spans="1:12" x14ac:dyDescent="0.3">
      <c r="A1957" s="3"/>
      <c r="C1957" s="1"/>
      <c r="E1957" s="1"/>
      <c r="J1957" s="3"/>
      <c r="L1957" s="1"/>
    </row>
    <row r="1958" spans="1:12" x14ac:dyDescent="0.3">
      <c r="A1958" s="3"/>
      <c r="C1958" s="1"/>
      <c r="E1958" s="1"/>
      <c r="J1958" s="3"/>
      <c r="L1958" s="1"/>
    </row>
    <row r="1959" spans="1:12" x14ac:dyDescent="0.3">
      <c r="A1959" s="3"/>
      <c r="C1959" s="1"/>
      <c r="E1959" s="1"/>
      <c r="J1959" s="3"/>
      <c r="L1959" s="1"/>
    </row>
    <row r="1960" spans="1:12" x14ac:dyDescent="0.3">
      <c r="A1960" s="3"/>
      <c r="C1960" s="1"/>
      <c r="E1960" s="1"/>
      <c r="J1960" s="3"/>
      <c r="L1960" s="1"/>
    </row>
    <row r="1961" spans="1:12" x14ac:dyDescent="0.3">
      <c r="A1961" s="3"/>
      <c r="C1961" s="1"/>
      <c r="E1961" s="1"/>
      <c r="J1961" s="3"/>
      <c r="L1961" s="1"/>
    </row>
    <row r="1962" spans="1:12" x14ac:dyDescent="0.3">
      <c r="A1962" s="3"/>
      <c r="C1962" s="1"/>
      <c r="E1962" s="1"/>
      <c r="J1962" s="3"/>
      <c r="L1962" s="1"/>
    </row>
    <row r="1963" spans="1:12" x14ac:dyDescent="0.3">
      <c r="A1963" s="3"/>
      <c r="C1963" s="1"/>
      <c r="E1963" s="1"/>
      <c r="J1963" s="3"/>
      <c r="L1963" s="1"/>
    </row>
    <row r="1964" spans="1:12" x14ac:dyDescent="0.3">
      <c r="A1964" s="3"/>
      <c r="C1964" s="1"/>
      <c r="E1964" s="1"/>
      <c r="J1964" s="3"/>
      <c r="L1964" s="1"/>
    </row>
    <row r="1965" spans="1:12" x14ac:dyDescent="0.3">
      <c r="A1965" s="3"/>
      <c r="C1965" s="1"/>
      <c r="E1965" s="1"/>
      <c r="J1965" s="3"/>
      <c r="L1965" s="1"/>
    </row>
    <row r="1966" spans="1:12" x14ac:dyDescent="0.3">
      <c r="A1966" s="3"/>
      <c r="C1966" s="1"/>
      <c r="E1966" s="1"/>
      <c r="J1966" s="3"/>
      <c r="L1966" s="1"/>
    </row>
    <row r="1967" spans="1:12" x14ac:dyDescent="0.3">
      <c r="A1967" s="3"/>
      <c r="C1967" s="1"/>
      <c r="E1967" s="1"/>
      <c r="J1967" s="3"/>
      <c r="L1967" s="1"/>
    </row>
    <row r="1968" spans="1:12" x14ac:dyDescent="0.3">
      <c r="A1968" s="3"/>
      <c r="C1968" s="1"/>
      <c r="E1968" s="1"/>
      <c r="J1968" s="3"/>
      <c r="L1968" s="1"/>
    </row>
    <row r="1969" spans="1:12" x14ac:dyDescent="0.3">
      <c r="A1969" s="3"/>
      <c r="C1969" s="1"/>
      <c r="E1969" s="1"/>
      <c r="J1969" s="3"/>
      <c r="L1969" s="1"/>
    </row>
    <row r="1970" spans="1:12" x14ac:dyDescent="0.3">
      <c r="A1970" s="3"/>
      <c r="C1970" s="1"/>
      <c r="E1970" s="1"/>
      <c r="J1970" s="3"/>
      <c r="L1970" s="1"/>
    </row>
    <row r="1971" spans="1:12" x14ac:dyDescent="0.3">
      <c r="A1971" s="3"/>
      <c r="C1971" s="1"/>
      <c r="E1971" s="1"/>
      <c r="J1971" s="3"/>
      <c r="L1971" s="1"/>
    </row>
    <row r="1972" spans="1:12" x14ac:dyDescent="0.3">
      <c r="A1972" s="3"/>
      <c r="C1972" s="1"/>
      <c r="E1972" s="1"/>
      <c r="J1972" s="3"/>
      <c r="L1972" s="1"/>
    </row>
    <row r="1973" spans="1:12" x14ac:dyDescent="0.3">
      <c r="A1973" s="3"/>
      <c r="C1973" s="1"/>
      <c r="E1973" s="1"/>
      <c r="J1973" s="3"/>
      <c r="L1973" s="1"/>
    </row>
    <row r="1974" spans="1:12" x14ac:dyDescent="0.3">
      <c r="A1974" s="3"/>
      <c r="C1974" s="1"/>
      <c r="E1974" s="1"/>
      <c r="J1974" s="3"/>
      <c r="L1974" s="1"/>
    </row>
    <row r="1975" spans="1:12" x14ac:dyDescent="0.3">
      <c r="A1975" s="3"/>
      <c r="C1975" s="1"/>
      <c r="E1975" s="1"/>
      <c r="J1975" s="3"/>
      <c r="L1975" s="1"/>
    </row>
    <row r="1976" spans="1:12" x14ac:dyDescent="0.3">
      <c r="A1976" s="3"/>
      <c r="C1976" s="1"/>
      <c r="E1976" s="1"/>
      <c r="J1976" s="3"/>
      <c r="L1976" s="1"/>
    </row>
    <row r="1977" spans="1:12" x14ac:dyDescent="0.3">
      <c r="A1977" s="3"/>
      <c r="C1977" s="1"/>
      <c r="E1977" s="1"/>
      <c r="J1977" s="3"/>
      <c r="L1977" s="1"/>
    </row>
    <row r="1978" spans="1:12" x14ac:dyDescent="0.3">
      <c r="A1978" s="3"/>
      <c r="C1978" s="1"/>
      <c r="E1978" s="1"/>
      <c r="J1978" s="3"/>
      <c r="L1978" s="1"/>
    </row>
    <row r="1979" spans="1:12" x14ac:dyDescent="0.3">
      <c r="A1979" s="3"/>
      <c r="C1979" s="1"/>
      <c r="E1979" s="1"/>
      <c r="J1979" s="3"/>
      <c r="L1979" s="1"/>
    </row>
    <row r="1980" spans="1:12" x14ac:dyDescent="0.3">
      <c r="A1980" s="3"/>
      <c r="C1980" s="1"/>
      <c r="E1980" s="1"/>
      <c r="J1980" s="3"/>
      <c r="L1980" s="1"/>
    </row>
    <row r="1981" spans="1:12" x14ac:dyDescent="0.3">
      <c r="A1981" s="3"/>
      <c r="C1981" s="1"/>
      <c r="E1981" s="1"/>
      <c r="J1981" s="3"/>
      <c r="L1981" s="1"/>
    </row>
    <row r="1982" spans="1:12" x14ac:dyDescent="0.3">
      <c r="A1982" s="3"/>
      <c r="C1982" s="1"/>
      <c r="E1982" s="1"/>
      <c r="J1982" s="3"/>
      <c r="L1982" s="1"/>
    </row>
    <row r="1983" spans="1:12" x14ac:dyDescent="0.3">
      <c r="A1983" s="3"/>
      <c r="C1983" s="1"/>
      <c r="E1983" s="1"/>
      <c r="J1983" s="3"/>
      <c r="L1983" s="1"/>
    </row>
    <row r="1984" spans="1:12" x14ac:dyDescent="0.3">
      <c r="A1984" s="3"/>
      <c r="C1984" s="1"/>
      <c r="E1984" s="1"/>
      <c r="J1984" s="3"/>
      <c r="L1984" s="1"/>
    </row>
    <row r="1985" spans="1:12" x14ac:dyDescent="0.3">
      <c r="A1985" s="3"/>
      <c r="C1985" s="1"/>
      <c r="E1985" s="1"/>
      <c r="J1985" s="3"/>
      <c r="L1985" s="1"/>
    </row>
    <row r="1986" spans="1:12" x14ac:dyDescent="0.3">
      <c r="A1986" s="3"/>
      <c r="C1986" s="1"/>
      <c r="E1986" s="1"/>
      <c r="J1986" s="3"/>
      <c r="L1986" s="1"/>
    </row>
    <row r="1987" spans="1:12" x14ac:dyDescent="0.3">
      <c r="A1987" s="3"/>
      <c r="C1987" s="1"/>
      <c r="E1987" s="1"/>
      <c r="J1987" s="3"/>
      <c r="L1987" s="1"/>
    </row>
    <row r="1988" spans="1:12" x14ac:dyDescent="0.3">
      <c r="A1988" s="3"/>
      <c r="C1988" s="1"/>
      <c r="E1988" s="1"/>
      <c r="J1988" s="3"/>
      <c r="L1988" s="1"/>
    </row>
    <row r="1989" spans="1:12" x14ac:dyDescent="0.3">
      <c r="A1989" s="3"/>
      <c r="C1989" s="1"/>
      <c r="E1989" s="1"/>
      <c r="J1989" s="3"/>
      <c r="L1989" s="1"/>
    </row>
    <row r="1990" spans="1:12" x14ac:dyDescent="0.3">
      <c r="A1990" s="3"/>
      <c r="C1990" s="1"/>
      <c r="E1990" s="1"/>
      <c r="J1990" s="3"/>
      <c r="L1990" s="1"/>
    </row>
    <row r="1991" spans="1:12" x14ac:dyDescent="0.3">
      <c r="A1991" s="3"/>
      <c r="C1991" s="1"/>
      <c r="E1991" s="1"/>
      <c r="J1991" s="3"/>
      <c r="L1991" s="1"/>
    </row>
    <row r="1992" spans="1:12" x14ac:dyDescent="0.3">
      <c r="A1992" s="3"/>
      <c r="C1992" s="1"/>
      <c r="E1992" s="1"/>
      <c r="J1992" s="3"/>
      <c r="L1992" s="1"/>
    </row>
    <row r="1993" spans="1:12" x14ac:dyDescent="0.3">
      <c r="A1993" s="3"/>
      <c r="C1993" s="1"/>
      <c r="E1993" s="1"/>
      <c r="J1993" s="3"/>
      <c r="L1993" s="1"/>
    </row>
    <row r="1994" spans="1:12" x14ac:dyDescent="0.3">
      <c r="A1994" s="3"/>
      <c r="C1994" s="1"/>
      <c r="E1994" s="1"/>
      <c r="J1994" s="3"/>
      <c r="L1994" s="1"/>
    </row>
    <row r="1995" spans="1:12" x14ac:dyDescent="0.3">
      <c r="A1995" s="3"/>
      <c r="C1995" s="1"/>
      <c r="E1995" s="1"/>
      <c r="J1995" s="3"/>
      <c r="L1995" s="1"/>
    </row>
    <row r="1996" spans="1:12" x14ac:dyDescent="0.3">
      <c r="A1996" s="3"/>
      <c r="C1996" s="1"/>
      <c r="E1996" s="1"/>
      <c r="J1996" s="3"/>
      <c r="L1996" s="1"/>
    </row>
    <row r="1997" spans="1:12" x14ac:dyDescent="0.3">
      <c r="A1997" s="3"/>
      <c r="C1997" s="1"/>
      <c r="E1997" s="1"/>
      <c r="J1997" s="3"/>
      <c r="L1997" s="1"/>
    </row>
    <row r="1998" spans="1:12" x14ac:dyDescent="0.3">
      <c r="A1998" s="3"/>
      <c r="C1998" s="1"/>
      <c r="E1998" s="1"/>
      <c r="J1998" s="3"/>
      <c r="L1998" s="1"/>
    </row>
    <row r="1999" spans="1:12" x14ac:dyDescent="0.3">
      <c r="A1999" s="3"/>
      <c r="C1999" s="1"/>
      <c r="E1999" s="1"/>
      <c r="J1999" s="3"/>
      <c r="L1999" s="1"/>
    </row>
    <row r="2000" spans="1:12" x14ac:dyDescent="0.3">
      <c r="A2000" s="3"/>
      <c r="C2000" s="1"/>
      <c r="E2000" s="1"/>
      <c r="J2000" s="3"/>
      <c r="L2000" s="1"/>
    </row>
    <row r="2001" spans="1:12" x14ac:dyDescent="0.3">
      <c r="A2001" s="3"/>
      <c r="C2001" s="1"/>
      <c r="E2001" s="1"/>
      <c r="J2001" s="3"/>
      <c r="L2001" s="1"/>
    </row>
    <row r="2002" spans="1:12" x14ac:dyDescent="0.3">
      <c r="A2002" s="3"/>
      <c r="C2002" s="1"/>
      <c r="E2002" s="1"/>
      <c r="J2002" s="3"/>
      <c r="L2002" s="1"/>
    </row>
    <row r="2003" spans="1:12" x14ac:dyDescent="0.3">
      <c r="A2003" s="3"/>
      <c r="C2003" s="1"/>
      <c r="E2003" s="1"/>
      <c r="J2003" s="3"/>
      <c r="L2003" s="1"/>
    </row>
    <row r="2004" spans="1:12" x14ac:dyDescent="0.3">
      <c r="A2004" s="3"/>
      <c r="C2004" s="1"/>
      <c r="E2004" s="1"/>
      <c r="J2004" s="3"/>
      <c r="L2004" s="1"/>
    </row>
    <row r="2005" spans="1:12" x14ac:dyDescent="0.3">
      <c r="A2005" s="3"/>
      <c r="C2005" s="1"/>
      <c r="E2005" s="1"/>
      <c r="J2005" s="3"/>
      <c r="L2005" s="1"/>
    </row>
    <row r="2006" spans="1:12" x14ac:dyDescent="0.3">
      <c r="A2006" s="3"/>
      <c r="C2006" s="1"/>
      <c r="E2006" s="1"/>
      <c r="J2006" s="3"/>
      <c r="L2006" s="1"/>
    </row>
    <row r="2007" spans="1:12" x14ac:dyDescent="0.3">
      <c r="A2007" s="3"/>
      <c r="C2007" s="1"/>
      <c r="E2007" s="1"/>
      <c r="J2007" s="3"/>
      <c r="L2007" s="1"/>
    </row>
    <row r="2008" spans="1:12" x14ac:dyDescent="0.3">
      <c r="A2008" s="3"/>
      <c r="C2008" s="1"/>
      <c r="E2008" s="1"/>
      <c r="J2008" s="3"/>
      <c r="L2008" s="1"/>
    </row>
    <row r="2009" spans="1:12" x14ac:dyDescent="0.3">
      <c r="A2009" s="3"/>
      <c r="C2009" s="1"/>
      <c r="E2009" s="1"/>
      <c r="J2009" s="3"/>
      <c r="L2009" s="1"/>
    </row>
    <row r="2010" spans="1:12" x14ac:dyDescent="0.3">
      <c r="A2010" s="3"/>
      <c r="C2010" s="1"/>
      <c r="E2010" s="1"/>
      <c r="J2010" s="3"/>
      <c r="L2010" s="1"/>
    </row>
    <row r="2011" spans="1:12" x14ac:dyDescent="0.3">
      <c r="A2011" s="3"/>
      <c r="C2011" s="1"/>
      <c r="E2011" s="1"/>
      <c r="J2011" s="3"/>
      <c r="L2011" s="1"/>
    </row>
    <row r="2012" spans="1:12" x14ac:dyDescent="0.3">
      <c r="A2012" s="3"/>
      <c r="C2012" s="1"/>
      <c r="E2012" s="1"/>
      <c r="J2012" s="3"/>
      <c r="L2012" s="1"/>
    </row>
    <row r="2013" spans="1:12" x14ac:dyDescent="0.3">
      <c r="A2013" s="3"/>
      <c r="C2013" s="1"/>
      <c r="E2013" s="1"/>
      <c r="J2013" s="3"/>
      <c r="L2013" s="1"/>
    </row>
    <row r="2014" spans="1:12" x14ac:dyDescent="0.3">
      <c r="A2014" s="3"/>
      <c r="C2014" s="1"/>
      <c r="E2014" s="1"/>
      <c r="J2014" s="3"/>
      <c r="L2014" s="1"/>
    </row>
    <row r="2015" spans="1:12" x14ac:dyDescent="0.3">
      <c r="A2015" s="3"/>
      <c r="C2015" s="1"/>
      <c r="E2015" s="1"/>
      <c r="J2015" s="3"/>
      <c r="L2015" s="1"/>
    </row>
    <row r="2016" spans="1:12" x14ac:dyDescent="0.3">
      <c r="A2016" s="3"/>
      <c r="C2016" s="1"/>
      <c r="E2016" s="1"/>
      <c r="J2016" s="3"/>
      <c r="L2016" s="1"/>
    </row>
    <row r="2017" spans="1:12" x14ac:dyDescent="0.3">
      <c r="A2017" s="3"/>
      <c r="C2017" s="1"/>
      <c r="E2017" s="1"/>
      <c r="J2017" s="3"/>
      <c r="L2017" s="1"/>
    </row>
    <row r="2018" spans="1:12" x14ac:dyDescent="0.3">
      <c r="A2018" s="3"/>
      <c r="C2018" s="1"/>
      <c r="E2018" s="1"/>
      <c r="J2018" s="3"/>
      <c r="L2018" s="1"/>
    </row>
    <row r="2019" spans="1:12" x14ac:dyDescent="0.3">
      <c r="A2019" s="3"/>
      <c r="C2019" s="1"/>
      <c r="E2019" s="1"/>
      <c r="J2019" s="3"/>
      <c r="L2019" s="1"/>
    </row>
    <row r="2020" spans="1:12" x14ac:dyDescent="0.3">
      <c r="A2020" s="3"/>
      <c r="C2020" s="1"/>
      <c r="E2020" s="1"/>
      <c r="J2020" s="3"/>
      <c r="L2020" s="1"/>
    </row>
    <row r="2021" spans="1:12" x14ac:dyDescent="0.3">
      <c r="A2021" s="3"/>
      <c r="C2021" s="1"/>
      <c r="E2021" s="1"/>
      <c r="J2021" s="3"/>
      <c r="L2021" s="1"/>
    </row>
    <row r="2022" spans="1:12" x14ac:dyDescent="0.3">
      <c r="A2022" s="3"/>
      <c r="C2022" s="1"/>
      <c r="E2022" s="1"/>
      <c r="J2022" s="3"/>
      <c r="L2022" s="1"/>
    </row>
    <row r="2023" spans="1:12" x14ac:dyDescent="0.3">
      <c r="A2023" s="3"/>
      <c r="C2023" s="1"/>
      <c r="E2023" s="1"/>
      <c r="J2023" s="3"/>
      <c r="L2023" s="1"/>
    </row>
    <row r="2024" spans="1:12" x14ac:dyDescent="0.3">
      <c r="A2024" s="3"/>
      <c r="C2024" s="1"/>
      <c r="E2024" s="1"/>
      <c r="J2024" s="3"/>
      <c r="L2024" s="1"/>
    </row>
    <row r="2025" spans="1:12" x14ac:dyDescent="0.3">
      <c r="A2025" s="3"/>
      <c r="C2025" s="1"/>
      <c r="E2025" s="1"/>
      <c r="J2025" s="3"/>
      <c r="L2025" s="1"/>
    </row>
    <row r="2026" spans="1:12" x14ac:dyDescent="0.3">
      <c r="A2026" s="3"/>
      <c r="C2026" s="1"/>
      <c r="E2026" s="1"/>
      <c r="J2026" s="3"/>
      <c r="L2026" s="1"/>
    </row>
    <row r="2027" spans="1:12" x14ac:dyDescent="0.3">
      <c r="A2027" s="3"/>
      <c r="C2027" s="1"/>
      <c r="E2027" s="1"/>
      <c r="J2027" s="3"/>
      <c r="L2027" s="1"/>
    </row>
    <row r="2028" spans="1:12" x14ac:dyDescent="0.3">
      <c r="A2028" s="3"/>
      <c r="C2028" s="1"/>
      <c r="E2028" s="1"/>
      <c r="J2028" s="3"/>
      <c r="L2028" s="1"/>
    </row>
    <row r="2029" spans="1:12" x14ac:dyDescent="0.3">
      <c r="A2029" s="3"/>
      <c r="C2029" s="1"/>
      <c r="E2029" s="1"/>
      <c r="J2029" s="3"/>
      <c r="L2029" s="1"/>
    </row>
    <row r="2030" spans="1:12" x14ac:dyDescent="0.3">
      <c r="A2030" s="3"/>
      <c r="C2030" s="1"/>
      <c r="E2030" s="1"/>
      <c r="J2030" s="3"/>
      <c r="L2030" s="1"/>
    </row>
    <row r="2031" spans="1:12" x14ac:dyDescent="0.3">
      <c r="A2031" s="3"/>
      <c r="C2031" s="1"/>
      <c r="E2031" s="1"/>
      <c r="J2031" s="3"/>
      <c r="L2031" s="1"/>
    </row>
    <row r="2032" spans="1:12" x14ac:dyDescent="0.3">
      <c r="A2032" s="3"/>
      <c r="C2032" s="1"/>
      <c r="E2032" s="1"/>
      <c r="J2032" s="3"/>
      <c r="L2032" s="1"/>
    </row>
    <row r="2033" spans="1:12" x14ac:dyDescent="0.3">
      <c r="A2033" s="3"/>
      <c r="C2033" s="1"/>
      <c r="E2033" s="1"/>
      <c r="J2033" s="3"/>
      <c r="L2033" s="1"/>
    </row>
    <row r="2034" spans="1:12" x14ac:dyDescent="0.3">
      <c r="A2034" s="3"/>
      <c r="C2034" s="1"/>
      <c r="E2034" s="1"/>
      <c r="J2034" s="3"/>
      <c r="L2034" s="1"/>
    </row>
    <row r="2035" spans="1:12" x14ac:dyDescent="0.3">
      <c r="A2035" s="3"/>
      <c r="C2035" s="1"/>
      <c r="E2035" s="1"/>
      <c r="J2035" s="3"/>
      <c r="L2035" s="1"/>
    </row>
    <row r="2036" spans="1:12" x14ac:dyDescent="0.3">
      <c r="A2036" s="3"/>
      <c r="C2036" s="1"/>
      <c r="E2036" s="1"/>
      <c r="J2036" s="3"/>
      <c r="L2036" s="1"/>
    </row>
    <row r="2037" spans="1:12" x14ac:dyDescent="0.3">
      <c r="A2037" s="3"/>
      <c r="C2037" s="1"/>
      <c r="E2037" s="1"/>
      <c r="J2037" s="3"/>
      <c r="L2037" s="1"/>
    </row>
    <row r="2038" spans="1:12" x14ac:dyDescent="0.3">
      <c r="A2038" s="3"/>
      <c r="C2038" s="1"/>
      <c r="E2038" s="1"/>
      <c r="J2038" s="3"/>
      <c r="L2038" s="1"/>
    </row>
    <row r="2039" spans="1:12" x14ac:dyDescent="0.3">
      <c r="A2039" s="3"/>
      <c r="C2039" s="1"/>
      <c r="E2039" s="1"/>
      <c r="J2039" s="3"/>
      <c r="L2039" s="1"/>
    </row>
    <row r="2040" spans="1:12" x14ac:dyDescent="0.3">
      <c r="A2040" s="3"/>
      <c r="C2040" s="1"/>
      <c r="E2040" s="1"/>
      <c r="J2040" s="3"/>
      <c r="L2040" s="1"/>
    </row>
    <row r="2041" spans="1:12" x14ac:dyDescent="0.3">
      <c r="A2041" s="3"/>
      <c r="C2041" s="1"/>
      <c r="E2041" s="1"/>
      <c r="J2041" s="3"/>
      <c r="L2041" s="1"/>
    </row>
    <row r="2042" spans="1:12" x14ac:dyDescent="0.3">
      <c r="A2042" s="3"/>
      <c r="C2042" s="1"/>
      <c r="E2042" s="1"/>
      <c r="J2042" s="3"/>
      <c r="L2042" s="1"/>
    </row>
    <row r="2043" spans="1:12" x14ac:dyDescent="0.3">
      <c r="A2043" s="3"/>
      <c r="C2043" s="1"/>
      <c r="E2043" s="1"/>
      <c r="J2043" s="3"/>
      <c r="L2043" s="1"/>
    </row>
    <row r="2044" spans="1:12" x14ac:dyDescent="0.3">
      <c r="A2044" s="3"/>
      <c r="C2044" s="1"/>
      <c r="E2044" s="1"/>
      <c r="J2044" s="3"/>
      <c r="L2044" s="1"/>
    </row>
    <row r="2045" spans="1:12" x14ac:dyDescent="0.3">
      <c r="A2045" s="3"/>
      <c r="C2045" s="1"/>
      <c r="E2045" s="1"/>
      <c r="J2045" s="3"/>
      <c r="L2045" s="1"/>
    </row>
    <row r="2046" spans="1:12" x14ac:dyDescent="0.3">
      <c r="A2046" s="3"/>
      <c r="C2046" s="1"/>
      <c r="E2046" s="1"/>
      <c r="J2046" s="3"/>
      <c r="L2046" s="1"/>
    </row>
    <row r="2047" spans="1:12" x14ac:dyDescent="0.3">
      <c r="A2047" s="3"/>
      <c r="C2047" s="1"/>
      <c r="E2047" s="1"/>
      <c r="J2047" s="3"/>
      <c r="L2047" s="1"/>
    </row>
    <row r="2048" spans="1:12" x14ac:dyDescent="0.3">
      <c r="A2048" s="3"/>
      <c r="C2048" s="1"/>
      <c r="E2048" s="1"/>
      <c r="J2048" s="3"/>
      <c r="L2048" s="1"/>
    </row>
    <row r="2049" spans="1:12" x14ac:dyDescent="0.3">
      <c r="A2049" s="3"/>
      <c r="C2049" s="1"/>
      <c r="E2049" s="1"/>
      <c r="J2049" s="3"/>
      <c r="L2049" s="1"/>
    </row>
    <row r="2050" spans="1:12" x14ac:dyDescent="0.3">
      <c r="A2050" s="3"/>
      <c r="C2050" s="1"/>
      <c r="E2050" s="1"/>
      <c r="J2050" s="3"/>
      <c r="L2050" s="1"/>
    </row>
    <row r="2051" spans="1:12" x14ac:dyDescent="0.3">
      <c r="A2051" s="3"/>
      <c r="C2051" s="1"/>
      <c r="E2051" s="1"/>
      <c r="J2051" s="3"/>
      <c r="L2051" s="1"/>
    </row>
    <row r="2052" spans="1:12" x14ac:dyDescent="0.3">
      <c r="A2052" s="3"/>
      <c r="C2052" s="1"/>
      <c r="E2052" s="1"/>
      <c r="J2052" s="3"/>
      <c r="L2052" s="1"/>
    </row>
    <row r="2053" spans="1:12" x14ac:dyDescent="0.3">
      <c r="A2053" s="3"/>
      <c r="C2053" s="1"/>
      <c r="E2053" s="1"/>
      <c r="J2053" s="3"/>
      <c r="L2053" s="1"/>
    </row>
    <row r="2054" spans="1:12" x14ac:dyDescent="0.3">
      <c r="A2054" s="3"/>
      <c r="C2054" s="1"/>
      <c r="E2054" s="1"/>
      <c r="J2054" s="3"/>
      <c r="L2054" s="1"/>
    </row>
    <row r="2055" spans="1:12" x14ac:dyDescent="0.3">
      <c r="A2055" s="3"/>
      <c r="C2055" s="1"/>
      <c r="E2055" s="1"/>
      <c r="J2055" s="3"/>
      <c r="L2055" s="1"/>
    </row>
    <row r="2056" spans="1:12" x14ac:dyDescent="0.3">
      <c r="A2056" s="3"/>
      <c r="C2056" s="1"/>
      <c r="E2056" s="1"/>
      <c r="J2056" s="3"/>
      <c r="L2056" s="1"/>
    </row>
    <row r="2057" spans="1:12" x14ac:dyDescent="0.3">
      <c r="A2057" s="3"/>
      <c r="C2057" s="1"/>
      <c r="E2057" s="1"/>
      <c r="J2057" s="3"/>
      <c r="L2057" s="1"/>
    </row>
    <row r="2058" spans="1:12" x14ac:dyDescent="0.3">
      <c r="A2058" s="3"/>
      <c r="C2058" s="1"/>
      <c r="E2058" s="1"/>
      <c r="J2058" s="3"/>
      <c r="L2058" s="1"/>
    </row>
    <row r="2059" spans="1:12" x14ac:dyDescent="0.3">
      <c r="A2059" s="3"/>
      <c r="C2059" s="1"/>
      <c r="E2059" s="1"/>
      <c r="J2059" s="3"/>
      <c r="L2059" s="1"/>
    </row>
    <row r="2060" spans="1:12" x14ac:dyDescent="0.3">
      <c r="A2060" s="3"/>
      <c r="C2060" s="1"/>
      <c r="E2060" s="1"/>
      <c r="J2060" s="3"/>
      <c r="L2060" s="1"/>
    </row>
    <row r="2061" spans="1:12" x14ac:dyDescent="0.3">
      <c r="A2061" s="3"/>
      <c r="C2061" s="1"/>
      <c r="E2061" s="1"/>
      <c r="J2061" s="3"/>
      <c r="L2061" s="1"/>
    </row>
    <row r="2062" spans="1:12" x14ac:dyDescent="0.3">
      <c r="A2062" s="3"/>
      <c r="C2062" s="1"/>
      <c r="E2062" s="1"/>
      <c r="J2062" s="3"/>
      <c r="L2062" s="1"/>
    </row>
    <row r="2063" spans="1:12" x14ac:dyDescent="0.3">
      <c r="A2063" s="3"/>
      <c r="C2063" s="1"/>
      <c r="E2063" s="1"/>
      <c r="J2063" s="3"/>
      <c r="L2063" s="1"/>
    </row>
    <row r="2064" spans="1:12" x14ac:dyDescent="0.3">
      <c r="A2064" s="3"/>
      <c r="C2064" s="1"/>
      <c r="E2064" s="1"/>
      <c r="J2064" s="3"/>
      <c r="L2064" s="1"/>
    </row>
    <row r="2065" spans="1:12" x14ac:dyDescent="0.3">
      <c r="A2065" s="3"/>
      <c r="C2065" s="1"/>
      <c r="E2065" s="1"/>
      <c r="J2065" s="3"/>
      <c r="L2065" s="1"/>
    </row>
    <row r="2066" spans="1:12" x14ac:dyDescent="0.3">
      <c r="A2066" s="3"/>
      <c r="C2066" s="1"/>
      <c r="E2066" s="1"/>
      <c r="J2066" s="3"/>
      <c r="L2066" s="1"/>
    </row>
    <row r="2067" spans="1:12" x14ac:dyDescent="0.3">
      <c r="A2067" s="3"/>
      <c r="C2067" s="1"/>
      <c r="E2067" s="1"/>
      <c r="J2067" s="3"/>
      <c r="L2067" s="1"/>
    </row>
    <row r="2068" spans="1:12" x14ac:dyDescent="0.3">
      <c r="A2068" s="3"/>
      <c r="C2068" s="1"/>
      <c r="E2068" s="1"/>
      <c r="J2068" s="3"/>
      <c r="L2068" s="1"/>
    </row>
    <row r="2069" spans="1:12" x14ac:dyDescent="0.3">
      <c r="A2069" s="3"/>
      <c r="C2069" s="1"/>
      <c r="E2069" s="1"/>
      <c r="J2069" s="3"/>
      <c r="L2069" s="1"/>
    </row>
    <row r="2070" spans="1:12" x14ac:dyDescent="0.3">
      <c r="A2070" s="3"/>
      <c r="C2070" s="1"/>
      <c r="E2070" s="1"/>
      <c r="J2070" s="3"/>
      <c r="L2070" s="1"/>
    </row>
    <row r="2071" spans="1:12" x14ac:dyDescent="0.3">
      <c r="A2071" s="3"/>
      <c r="C2071" s="1"/>
      <c r="E2071" s="1"/>
      <c r="J2071" s="3"/>
      <c r="L2071" s="1"/>
    </row>
    <row r="2072" spans="1:12" x14ac:dyDescent="0.3">
      <c r="A2072" s="3"/>
      <c r="C2072" s="1"/>
      <c r="E2072" s="1"/>
      <c r="J2072" s="3"/>
      <c r="L2072" s="1"/>
    </row>
    <row r="2073" spans="1:12" x14ac:dyDescent="0.3">
      <c r="A2073" s="3"/>
      <c r="C2073" s="1"/>
      <c r="E2073" s="1"/>
      <c r="J2073" s="3"/>
      <c r="L2073" s="1"/>
    </row>
    <row r="2074" spans="1:12" x14ac:dyDescent="0.3">
      <c r="A2074" s="3"/>
      <c r="C2074" s="1"/>
      <c r="E2074" s="1"/>
      <c r="J2074" s="3"/>
      <c r="L2074" s="1"/>
    </row>
    <row r="2075" spans="1:12" x14ac:dyDescent="0.3">
      <c r="A2075" s="3"/>
      <c r="C2075" s="1"/>
      <c r="E2075" s="1"/>
      <c r="J2075" s="3"/>
      <c r="L2075" s="1"/>
    </row>
    <row r="2076" spans="1:12" x14ac:dyDescent="0.3">
      <c r="A2076" s="3"/>
      <c r="C2076" s="1"/>
      <c r="E2076" s="1"/>
      <c r="J2076" s="3"/>
      <c r="L2076" s="1"/>
    </row>
    <row r="2077" spans="1:12" x14ac:dyDescent="0.3">
      <c r="A2077" s="3"/>
      <c r="C2077" s="1"/>
      <c r="E2077" s="1"/>
      <c r="J2077" s="3"/>
      <c r="L2077" s="1"/>
    </row>
    <row r="2078" spans="1:12" x14ac:dyDescent="0.3">
      <c r="A2078" s="3"/>
      <c r="C2078" s="1"/>
      <c r="E2078" s="1"/>
      <c r="J2078" s="3"/>
      <c r="L2078" s="1"/>
    </row>
    <row r="2079" spans="1:12" x14ac:dyDescent="0.3">
      <c r="A2079" s="3"/>
      <c r="C2079" s="1"/>
      <c r="E2079" s="1"/>
      <c r="J2079" s="3"/>
      <c r="L2079" s="1"/>
    </row>
    <row r="2080" spans="1:12" x14ac:dyDescent="0.3">
      <c r="A2080" s="3"/>
      <c r="C2080" s="1"/>
      <c r="E2080" s="1"/>
      <c r="J2080" s="3"/>
      <c r="L2080" s="1"/>
    </row>
    <row r="2081" spans="1:12" x14ac:dyDescent="0.3">
      <c r="A2081" s="3"/>
      <c r="C2081" s="1"/>
      <c r="E2081" s="1"/>
      <c r="J2081" s="3"/>
      <c r="L2081" s="1"/>
    </row>
    <row r="2082" spans="1:12" x14ac:dyDescent="0.3">
      <c r="A2082" s="3"/>
      <c r="C2082" s="1"/>
      <c r="E2082" s="1"/>
      <c r="J2082" s="3"/>
      <c r="L2082" s="1"/>
    </row>
    <row r="2083" spans="1:12" x14ac:dyDescent="0.3">
      <c r="A2083" s="3"/>
      <c r="C2083" s="1"/>
      <c r="E2083" s="1"/>
      <c r="J2083" s="3"/>
      <c r="L2083" s="1"/>
    </row>
    <row r="2084" spans="1:12" x14ac:dyDescent="0.3">
      <c r="A2084" s="3"/>
      <c r="C2084" s="1"/>
      <c r="E2084" s="1"/>
      <c r="J2084" s="3"/>
      <c r="L2084" s="1"/>
    </row>
    <row r="2085" spans="1:12" x14ac:dyDescent="0.3">
      <c r="A2085" s="3"/>
      <c r="C2085" s="1"/>
      <c r="E2085" s="1"/>
      <c r="J2085" s="3"/>
      <c r="L2085" s="1"/>
    </row>
    <row r="2086" spans="1:12" x14ac:dyDescent="0.3">
      <c r="A2086" s="3"/>
      <c r="C2086" s="1"/>
      <c r="E2086" s="1"/>
      <c r="J2086" s="3"/>
      <c r="L2086" s="1"/>
    </row>
    <row r="2087" spans="1:12" x14ac:dyDescent="0.3">
      <c r="A2087" s="3"/>
      <c r="C2087" s="1"/>
      <c r="E2087" s="1"/>
      <c r="J2087" s="3"/>
      <c r="L2087" s="1"/>
    </row>
    <row r="2088" spans="1:12" x14ac:dyDescent="0.3">
      <c r="A2088" s="3"/>
      <c r="C2088" s="1"/>
      <c r="E2088" s="1"/>
      <c r="J2088" s="3"/>
      <c r="L2088" s="1"/>
    </row>
    <row r="2089" spans="1:12" x14ac:dyDescent="0.3">
      <c r="A2089" s="3"/>
      <c r="C2089" s="1"/>
      <c r="E2089" s="1"/>
      <c r="J2089" s="3"/>
      <c r="L2089" s="1"/>
    </row>
    <row r="2090" spans="1:12" x14ac:dyDescent="0.3">
      <c r="A2090" s="3"/>
      <c r="C2090" s="1"/>
      <c r="E2090" s="1"/>
      <c r="J2090" s="3"/>
      <c r="L2090" s="1"/>
    </row>
    <row r="2091" spans="1:12" x14ac:dyDescent="0.3">
      <c r="A2091" s="3"/>
      <c r="C2091" s="1"/>
      <c r="E2091" s="1"/>
      <c r="J2091" s="3"/>
      <c r="L2091" s="1"/>
    </row>
    <row r="2092" spans="1:12" x14ac:dyDescent="0.3">
      <c r="A2092" s="3"/>
      <c r="C2092" s="1"/>
      <c r="E2092" s="1"/>
      <c r="J2092" s="3"/>
      <c r="L2092" s="1"/>
    </row>
    <row r="2093" spans="1:12" x14ac:dyDescent="0.3">
      <c r="A2093" s="3"/>
      <c r="C2093" s="1"/>
      <c r="E2093" s="1"/>
      <c r="J2093" s="3"/>
      <c r="L2093" s="1"/>
    </row>
    <row r="2094" spans="1:12" x14ac:dyDescent="0.3">
      <c r="A2094" s="3"/>
      <c r="C2094" s="1"/>
      <c r="E2094" s="1"/>
      <c r="J2094" s="3"/>
      <c r="L2094" s="1"/>
    </row>
    <row r="2095" spans="1:12" x14ac:dyDescent="0.3">
      <c r="A2095" s="3"/>
      <c r="C2095" s="1"/>
      <c r="E2095" s="1"/>
      <c r="J2095" s="3"/>
      <c r="L2095" s="1"/>
    </row>
    <row r="2096" spans="1:12" x14ac:dyDescent="0.3">
      <c r="A2096" s="3"/>
      <c r="C2096" s="1"/>
      <c r="E2096" s="1"/>
      <c r="J2096" s="3"/>
      <c r="L2096" s="1"/>
    </row>
    <row r="2097" spans="1:12" x14ac:dyDescent="0.3">
      <c r="A2097" s="3"/>
      <c r="C2097" s="1"/>
      <c r="E2097" s="1"/>
      <c r="J2097" s="3"/>
      <c r="L2097" s="1"/>
    </row>
    <row r="2098" spans="1:12" x14ac:dyDescent="0.3">
      <c r="A2098" s="3"/>
      <c r="C2098" s="1"/>
      <c r="E2098" s="1"/>
      <c r="J2098" s="3"/>
      <c r="L2098" s="1"/>
    </row>
    <row r="2099" spans="1:12" x14ac:dyDescent="0.3">
      <c r="A2099" s="3"/>
      <c r="C2099" s="1"/>
      <c r="E2099" s="1"/>
      <c r="J2099" s="3"/>
      <c r="L2099" s="1"/>
    </row>
    <row r="2100" spans="1:12" x14ac:dyDescent="0.3">
      <c r="A2100" s="3"/>
      <c r="C2100" s="1"/>
      <c r="E2100" s="1"/>
      <c r="J2100" s="3"/>
      <c r="L2100" s="1"/>
    </row>
    <row r="2101" spans="1:12" x14ac:dyDescent="0.3">
      <c r="A2101" s="3"/>
      <c r="C2101" s="1"/>
      <c r="E2101" s="1"/>
      <c r="J2101" s="3"/>
      <c r="L2101" s="1"/>
    </row>
    <row r="2102" spans="1:12" x14ac:dyDescent="0.3">
      <c r="A2102" s="3"/>
      <c r="C2102" s="1"/>
      <c r="E2102" s="1"/>
      <c r="J2102" s="3"/>
      <c r="L2102" s="1"/>
    </row>
    <row r="2103" spans="1:12" x14ac:dyDescent="0.3">
      <c r="A2103" s="3"/>
      <c r="C2103" s="1"/>
      <c r="E2103" s="1"/>
      <c r="J2103" s="3"/>
      <c r="L2103" s="1"/>
    </row>
    <row r="2104" spans="1:12" x14ac:dyDescent="0.3">
      <c r="A2104" s="3"/>
      <c r="C2104" s="1"/>
      <c r="E2104" s="1"/>
      <c r="J2104" s="3"/>
      <c r="L2104" s="1"/>
    </row>
    <row r="2105" spans="1:12" x14ac:dyDescent="0.3">
      <c r="A2105" s="3"/>
      <c r="C2105" s="1"/>
      <c r="E2105" s="1"/>
      <c r="J2105" s="3"/>
      <c r="L2105" s="1"/>
    </row>
    <row r="2106" spans="1:12" x14ac:dyDescent="0.3">
      <c r="A2106" s="3"/>
      <c r="C2106" s="1"/>
      <c r="E2106" s="1"/>
      <c r="J2106" s="3"/>
      <c r="L2106" s="1"/>
    </row>
    <row r="2107" spans="1:12" x14ac:dyDescent="0.3">
      <c r="A2107" s="3"/>
      <c r="C2107" s="1"/>
      <c r="E2107" s="1"/>
      <c r="J2107" s="3"/>
      <c r="L2107" s="1"/>
    </row>
    <row r="2108" spans="1:12" x14ac:dyDescent="0.3">
      <c r="A2108" s="3"/>
      <c r="C2108" s="1"/>
      <c r="E2108" s="1"/>
      <c r="J2108" s="3"/>
      <c r="L2108" s="1"/>
    </row>
    <row r="2109" spans="1:12" x14ac:dyDescent="0.3">
      <c r="A2109" s="3"/>
      <c r="C2109" s="1"/>
      <c r="E2109" s="1"/>
      <c r="J2109" s="3"/>
      <c r="L2109" s="1"/>
    </row>
    <row r="2110" spans="1:12" x14ac:dyDescent="0.3">
      <c r="A2110" s="3"/>
      <c r="C2110" s="1"/>
      <c r="E2110" s="1"/>
      <c r="J2110" s="3"/>
      <c r="L2110" s="1"/>
    </row>
    <row r="2111" spans="1:12" x14ac:dyDescent="0.3">
      <c r="A2111" s="3"/>
      <c r="C2111" s="1"/>
      <c r="E2111" s="1"/>
      <c r="J2111" s="3"/>
      <c r="L2111" s="1"/>
    </row>
    <row r="2112" spans="1:12" x14ac:dyDescent="0.3">
      <c r="A2112" s="3"/>
      <c r="C2112" s="1"/>
      <c r="E2112" s="1"/>
      <c r="J2112" s="3"/>
      <c r="L2112" s="1"/>
    </row>
    <row r="2113" spans="1:12" x14ac:dyDescent="0.3">
      <c r="A2113" s="3"/>
      <c r="C2113" s="1"/>
      <c r="E2113" s="1"/>
      <c r="J2113" s="3"/>
      <c r="L2113" s="1"/>
    </row>
    <row r="2114" spans="1:12" x14ac:dyDescent="0.3">
      <c r="A2114" s="3"/>
      <c r="C2114" s="1"/>
      <c r="E2114" s="1"/>
      <c r="J2114" s="3"/>
      <c r="L2114" s="1"/>
    </row>
    <row r="2115" spans="1:12" x14ac:dyDescent="0.3">
      <c r="A2115" s="3"/>
      <c r="C2115" s="1"/>
      <c r="E2115" s="1"/>
      <c r="J2115" s="3"/>
      <c r="L2115" s="1"/>
    </row>
    <row r="2116" spans="1:12" x14ac:dyDescent="0.3">
      <c r="A2116" s="3"/>
      <c r="C2116" s="1"/>
      <c r="E2116" s="1"/>
      <c r="J2116" s="3"/>
      <c r="L2116" s="1"/>
    </row>
    <row r="2117" spans="1:12" x14ac:dyDescent="0.3">
      <c r="A2117" s="3"/>
      <c r="C2117" s="1"/>
      <c r="E2117" s="1"/>
      <c r="J2117" s="3"/>
      <c r="L2117" s="1"/>
    </row>
    <row r="2118" spans="1:12" x14ac:dyDescent="0.3">
      <c r="A2118" s="3"/>
      <c r="C2118" s="1"/>
      <c r="E2118" s="1"/>
      <c r="J2118" s="3"/>
      <c r="L2118" s="1"/>
    </row>
    <row r="2119" spans="1:12" x14ac:dyDescent="0.3">
      <c r="A2119" s="3"/>
      <c r="C2119" s="1"/>
      <c r="E2119" s="1"/>
      <c r="J2119" s="3"/>
      <c r="L2119" s="1"/>
    </row>
    <row r="2120" spans="1:12" x14ac:dyDescent="0.3">
      <c r="A2120" s="3"/>
      <c r="C2120" s="1"/>
      <c r="E2120" s="1"/>
      <c r="J2120" s="3"/>
      <c r="L2120" s="1"/>
    </row>
    <row r="2121" spans="1:12" x14ac:dyDescent="0.3">
      <c r="A2121" s="3"/>
      <c r="C2121" s="1"/>
      <c r="E2121" s="1"/>
      <c r="J2121" s="3"/>
      <c r="L2121" s="1"/>
    </row>
    <row r="2122" spans="1:12" x14ac:dyDescent="0.3">
      <c r="A2122" s="3"/>
      <c r="C2122" s="1"/>
      <c r="E2122" s="1"/>
      <c r="J2122" s="3"/>
      <c r="L2122" s="1"/>
    </row>
    <row r="2123" spans="1:12" x14ac:dyDescent="0.3">
      <c r="A2123" s="3"/>
      <c r="C2123" s="1"/>
      <c r="E2123" s="1"/>
      <c r="J2123" s="3"/>
      <c r="L2123" s="1"/>
    </row>
    <row r="2124" spans="1:12" x14ac:dyDescent="0.3">
      <c r="A2124" s="3"/>
      <c r="C2124" s="1"/>
      <c r="E2124" s="1"/>
      <c r="J2124" s="3"/>
      <c r="L2124" s="1"/>
    </row>
    <row r="2125" spans="1:12" x14ac:dyDescent="0.3">
      <c r="A2125" s="3"/>
      <c r="C2125" s="1"/>
      <c r="E2125" s="1"/>
      <c r="J2125" s="3"/>
      <c r="L2125" s="1"/>
    </row>
    <row r="2126" spans="1:12" x14ac:dyDescent="0.3">
      <c r="A2126" s="3"/>
      <c r="C2126" s="1"/>
      <c r="E2126" s="1"/>
      <c r="J2126" s="3"/>
      <c r="L2126" s="1"/>
    </row>
    <row r="2127" spans="1:12" x14ac:dyDescent="0.3">
      <c r="A2127" s="3"/>
      <c r="C2127" s="1"/>
      <c r="E2127" s="1"/>
      <c r="J2127" s="3"/>
      <c r="L2127" s="1"/>
    </row>
    <row r="2128" spans="1:12" x14ac:dyDescent="0.3">
      <c r="A2128" s="3"/>
      <c r="C2128" s="1"/>
      <c r="E2128" s="1"/>
      <c r="J2128" s="3"/>
      <c r="L2128" s="1"/>
    </row>
    <row r="2129" spans="1:12" x14ac:dyDescent="0.3">
      <c r="A2129" s="3"/>
      <c r="C2129" s="1"/>
      <c r="E2129" s="1"/>
      <c r="J2129" s="3"/>
      <c r="L2129" s="1"/>
    </row>
    <row r="2130" spans="1:12" x14ac:dyDescent="0.3">
      <c r="A2130" s="3"/>
      <c r="C2130" s="1"/>
      <c r="E2130" s="1"/>
      <c r="J2130" s="3"/>
      <c r="L2130" s="1"/>
    </row>
    <row r="2131" spans="1:12" x14ac:dyDescent="0.3">
      <c r="A2131" s="3"/>
      <c r="C2131" s="1"/>
      <c r="E2131" s="1"/>
      <c r="J2131" s="3"/>
      <c r="L2131" s="1"/>
    </row>
    <row r="2132" spans="1:12" x14ac:dyDescent="0.3">
      <c r="A2132" s="3"/>
      <c r="C2132" s="1"/>
      <c r="E2132" s="1"/>
      <c r="J2132" s="3"/>
      <c r="L2132" s="1"/>
    </row>
    <row r="2133" spans="1:12" x14ac:dyDescent="0.3">
      <c r="A2133" s="3"/>
      <c r="C2133" s="1"/>
      <c r="E2133" s="1"/>
      <c r="J2133" s="3"/>
      <c r="L2133" s="1"/>
    </row>
    <row r="2134" spans="1:12" x14ac:dyDescent="0.3">
      <c r="A2134" s="3"/>
      <c r="C2134" s="1"/>
      <c r="E2134" s="1"/>
      <c r="J2134" s="3"/>
      <c r="L2134" s="1"/>
    </row>
    <row r="2135" spans="1:12" x14ac:dyDescent="0.3">
      <c r="A2135" s="3"/>
      <c r="C2135" s="1"/>
      <c r="E2135" s="1"/>
      <c r="J2135" s="3"/>
      <c r="L2135" s="1"/>
    </row>
    <row r="2136" spans="1:12" x14ac:dyDescent="0.3">
      <c r="A2136" s="3"/>
      <c r="C2136" s="1"/>
      <c r="E2136" s="1"/>
      <c r="J2136" s="3"/>
      <c r="L2136" s="1"/>
    </row>
    <row r="2137" spans="1:12" x14ac:dyDescent="0.3">
      <c r="A2137" s="3"/>
      <c r="C2137" s="1"/>
      <c r="E2137" s="1"/>
      <c r="J2137" s="3"/>
      <c r="L2137" s="1"/>
    </row>
    <row r="2138" spans="1:12" x14ac:dyDescent="0.3">
      <c r="A2138" s="3"/>
      <c r="C2138" s="1"/>
      <c r="E2138" s="1"/>
      <c r="J2138" s="3"/>
      <c r="L2138" s="1"/>
    </row>
    <row r="2139" spans="1:12" x14ac:dyDescent="0.3">
      <c r="A2139" s="3"/>
      <c r="C2139" s="1"/>
      <c r="E2139" s="1"/>
      <c r="J2139" s="3"/>
      <c r="L2139" s="1"/>
    </row>
    <row r="2140" spans="1:12" x14ac:dyDescent="0.3">
      <c r="A2140" s="3"/>
      <c r="C2140" s="1"/>
      <c r="E2140" s="1"/>
      <c r="J2140" s="3"/>
      <c r="L2140" s="1"/>
    </row>
    <row r="2141" spans="1:12" x14ac:dyDescent="0.3">
      <c r="A2141" s="3"/>
      <c r="C2141" s="1"/>
      <c r="E2141" s="1"/>
      <c r="J2141" s="3"/>
      <c r="L2141" s="1"/>
    </row>
    <row r="2142" spans="1:12" x14ac:dyDescent="0.3">
      <c r="A2142" s="3"/>
      <c r="C2142" s="1"/>
      <c r="E2142" s="1"/>
      <c r="J2142" s="3"/>
      <c r="L2142" s="1"/>
    </row>
    <row r="2143" spans="1:12" x14ac:dyDescent="0.3">
      <c r="A2143" s="3"/>
      <c r="C2143" s="1"/>
      <c r="E2143" s="1"/>
      <c r="J2143" s="3"/>
      <c r="L2143" s="1"/>
    </row>
    <row r="2144" spans="1:12" x14ac:dyDescent="0.3">
      <c r="A2144" s="3"/>
      <c r="C2144" s="1"/>
      <c r="E2144" s="1"/>
      <c r="J2144" s="3"/>
      <c r="L2144" s="1"/>
    </row>
    <row r="2145" spans="1:12" x14ac:dyDescent="0.3">
      <c r="A2145" s="3"/>
      <c r="C2145" s="1"/>
      <c r="E2145" s="1"/>
      <c r="J2145" s="3"/>
      <c r="L2145" s="1"/>
    </row>
    <row r="2146" spans="1:12" x14ac:dyDescent="0.3">
      <c r="A2146" s="3"/>
      <c r="C2146" s="1"/>
      <c r="E2146" s="1"/>
      <c r="J2146" s="3"/>
      <c r="L2146" s="1"/>
    </row>
    <row r="2147" spans="1:12" x14ac:dyDescent="0.3">
      <c r="A2147" s="3"/>
      <c r="C2147" s="1"/>
      <c r="E2147" s="1"/>
      <c r="J2147" s="3"/>
      <c r="L2147" s="1"/>
    </row>
    <row r="2148" spans="1:12" x14ac:dyDescent="0.3">
      <c r="A2148" s="3"/>
      <c r="C2148" s="1"/>
      <c r="E2148" s="1"/>
      <c r="J2148" s="3"/>
      <c r="L2148" s="1"/>
    </row>
    <row r="2149" spans="1:12" x14ac:dyDescent="0.3">
      <c r="A2149" s="3"/>
      <c r="C2149" s="1"/>
      <c r="E2149" s="1"/>
      <c r="J2149" s="3"/>
      <c r="L2149" s="1"/>
    </row>
    <row r="2150" spans="1:12" x14ac:dyDescent="0.3">
      <c r="A2150" s="3"/>
      <c r="C2150" s="1"/>
      <c r="E2150" s="1"/>
      <c r="J2150" s="3"/>
      <c r="L2150" s="1"/>
    </row>
    <row r="2151" spans="1:12" x14ac:dyDescent="0.3">
      <c r="A2151" s="3"/>
      <c r="C2151" s="1"/>
      <c r="E2151" s="1"/>
      <c r="J2151" s="3"/>
      <c r="L2151" s="1"/>
    </row>
    <row r="2152" spans="1:12" x14ac:dyDescent="0.3">
      <c r="A2152" s="3"/>
      <c r="C2152" s="1"/>
      <c r="E2152" s="1"/>
      <c r="J2152" s="3"/>
      <c r="L2152" s="1"/>
    </row>
    <row r="2153" spans="1:12" x14ac:dyDescent="0.3">
      <c r="A2153" s="3"/>
      <c r="C2153" s="1"/>
      <c r="E2153" s="1"/>
      <c r="J2153" s="3"/>
      <c r="L2153" s="1"/>
    </row>
    <row r="2154" spans="1:12" x14ac:dyDescent="0.3">
      <c r="A2154" s="3"/>
      <c r="C2154" s="1"/>
      <c r="E2154" s="1"/>
      <c r="J2154" s="3"/>
      <c r="L2154" s="1"/>
    </row>
    <row r="2155" spans="1:12" x14ac:dyDescent="0.3">
      <c r="A2155" s="3"/>
      <c r="C2155" s="1"/>
      <c r="E2155" s="1"/>
      <c r="J2155" s="3"/>
      <c r="L2155" s="1"/>
    </row>
    <row r="2156" spans="1:12" x14ac:dyDescent="0.3">
      <c r="A2156" s="3"/>
      <c r="C2156" s="1"/>
      <c r="E2156" s="1"/>
      <c r="J2156" s="3"/>
      <c r="L2156" s="1"/>
    </row>
    <row r="2157" spans="1:12" x14ac:dyDescent="0.3">
      <c r="A2157" s="3"/>
      <c r="C2157" s="1"/>
      <c r="E2157" s="1"/>
      <c r="J2157" s="3"/>
      <c r="L2157" s="1"/>
    </row>
    <row r="2158" spans="1:12" x14ac:dyDescent="0.3">
      <c r="A2158" s="3"/>
      <c r="C2158" s="1"/>
      <c r="E2158" s="1"/>
      <c r="J2158" s="3"/>
      <c r="L2158" s="1"/>
    </row>
    <row r="2159" spans="1:12" x14ac:dyDescent="0.3">
      <c r="A2159" s="3"/>
      <c r="C2159" s="1"/>
      <c r="E2159" s="1"/>
      <c r="J2159" s="3"/>
      <c r="L2159" s="1"/>
    </row>
    <row r="2160" spans="1:12" x14ac:dyDescent="0.3">
      <c r="A2160" s="3"/>
      <c r="C2160" s="1"/>
      <c r="E2160" s="1"/>
      <c r="J2160" s="3"/>
      <c r="L2160" s="1"/>
    </row>
    <row r="2161" spans="1:12" x14ac:dyDescent="0.3">
      <c r="A2161" s="3"/>
      <c r="C2161" s="1"/>
      <c r="E2161" s="1"/>
      <c r="J2161" s="3"/>
      <c r="L2161" s="1"/>
    </row>
    <row r="2162" spans="1:12" x14ac:dyDescent="0.3">
      <c r="A2162" s="3"/>
      <c r="C2162" s="1"/>
      <c r="E2162" s="1"/>
      <c r="J2162" s="3"/>
      <c r="L2162" s="1"/>
    </row>
    <row r="2163" spans="1:12" x14ac:dyDescent="0.3">
      <c r="A2163" s="3"/>
      <c r="C2163" s="1"/>
      <c r="E2163" s="1"/>
      <c r="J2163" s="3"/>
      <c r="L2163" s="1"/>
    </row>
    <row r="2164" spans="1:12" x14ac:dyDescent="0.3">
      <c r="A2164" s="3"/>
      <c r="C2164" s="1"/>
      <c r="E2164" s="1"/>
      <c r="J2164" s="3"/>
      <c r="L2164" s="1"/>
    </row>
    <row r="2165" spans="1:12" x14ac:dyDescent="0.3">
      <c r="A2165" s="3"/>
      <c r="C2165" s="1"/>
      <c r="E2165" s="1"/>
      <c r="J2165" s="3"/>
      <c r="L2165" s="1"/>
    </row>
    <row r="2166" spans="1:12" x14ac:dyDescent="0.3">
      <c r="A2166" s="3"/>
      <c r="C2166" s="1"/>
      <c r="E2166" s="1"/>
      <c r="J2166" s="3"/>
      <c r="L2166" s="1"/>
    </row>
    <row r="2167" spans="1:12" x14ac:dyDescent="0.3">
      <c r="A2167" s="3"/>
      <c r="C2167" s="1"/>
      <c r="E2167" s="1"/>
      <c r="J2167" s="3"/>
      <c r="L2167" s="1"/>
    </row>
    <row r="2168" spans="1:12" x14ac:dyDescent="0.3">
      <c r="A2168" s="3"/>
      <c r="C2168" s="1"/>
      <c r="E2168" s="1"/>
      <c r="J2168" s="3"/>
      <c r="L2168" s="1"/>
    </row>
    <row r="2169" spans="1:12" x14ac:dyDescent="0.3">
      <c r="A2169" s="3"/>
      <c r="C2169" s="1"/>
      <c r="E2169" s="1"/>
      <c r="J2169" s="3"/>
      <c r="L2169" s="1"/>
    </row>
    <row r="2170" spans="1:12" x14ac:dyDescent="0.3">
      <c r="A2170" s="3"/>
      <c r="C2170" s="1"/>
      <c r="E2170" s="1"/>
      <c r="J2170" s="3"/>
      <c r="L2170" s="1"/>
    </row>
    <row r="2171" spans="1:12" x14ac:dyDescent="0.3">
      <c r="A2171" s="3"/>
      <c r="C2171" s="1"/>
      <c r="E2171" s="1"/>
      <c r="J2171" s="3"/>
      <c r="L2171" s="1"/>
    </row>
    <row r="2172" spans="1:12" x14ac:dyDescent="0.3">
      <c r="A2172" s="3"/>
      <c r="C2172" s="1"/>
      <c r="E2172" s="1"/>
      <c r="J2172" s="3"/>
      <c r="L2172" s="1"/>
    </row>
    <row r="2173" spans="1:12" x14ac:dyDescent="0.3">
      <c r="A2173" s="3"/>
      <c r="C2173" s="1"/>
      <c r="E2173" s="1"/>
      <c r="J2173" s="3"/>
      <c r="L2173" s="1"/>
    </row>
    <row r="2174" spans="1:12" x14ac:dyDescent="0.3">
      <c r="A2174" s="3"/>
      <c r="C2174" s="1"/>
      <c r="E2174" s="1"/>
      <c r="J2174" s="3"/>
      <c r="L2174" s="1"/>
    </row>
    <row r="2175" spans="1:12" x14ac:dyDescent="0.3">
      <c r="A2175" s="3"/>
      <c r="C2175" s="1"/>
      <c r="E2175" s="1"/>
      <c r="J2175" s="3"/>
      <c r="L2175" s="1"/>
    </row>
    <row r="2176" spans="1:12" x14ac:dyDescent="0.3">
      <c r="A2176" s="3"/>
      <c r="C2176" s="1"/>
      <c r="E2176" s="1"/>
      <c r="J2176" s="3"/>
      <c r="L2176" s="1"/>
    </row>
    <row r="2177" spans="1:12" x14ac:dyDescent="0.3">
      <c r="A2177" s="3"/>
      <c r="C2177" s="1"/>
      <c r="E2177" s="1"/>
      <c r="J2177" s="3"/>
      <c r="L2177" s="1"/>
    </row>
    <row r="2178" spans="1:12" x14ac:dyDescent="0.3">
      <c r="A2178" s="3"/>
      <c r="C2178" s="1"/>
      <c r="E2178" s="1"/>
      <c r="J2178" s="3"/>
      <c r="L2178" s="1"/>
    </row>
    <row r="2179" spans="1:12" x14ac:dyDescent="0.3">
      <c r="A2179" s="3"/>
      <c r="C2179" s="1"/>
      <c r="E2179" s="1"/>
      <c r="J2179" s="3"/>
      <c r="L2179" s="1"/>
    </row>
    <row r="2180" spans="1:12" x14ac:dyDescent="0.3">
      <c r="A2180" s="3"/>
      <c r="C2180" s="1"/>
      <c r="E2180" s="1"/>
      <c r="J2180" s="3"/>
      <c r="L2180" s="1"/>
    </row>
    <row r="2181" spans="1:12" x14ac:dyDescent="0.3">
      <c r="A2181" s="3"/>
      <c r="C2181" s="1"/>
      <c r="E2181" s="1"/>
      <c r="J2181" s="3"/>
      <c r="L2181" s="1"/>
    </row>
    <row r="2182" spans="1:12" x14ac:dyDescent="0.3">
      <c r="A2182" s="3"/>
      <c r="C2182" s="1"/>
      <c r="E2182" s="1"/>
      <c r="J2182" s="3"/>
      <c r="L2182" s="1"/>
    </row>
    <row r="2183" spans="1:12" x14ac:dyDescent="0.3">
      <c r="A2183" s="3"/>
      <c r="C2183" s="1"/>
      <c r="E2183" s="1"/>
      <c r="J2183" s="3"/>
      <c r="L2183" s="1"/>
    </row>
    <row r="2184" spans="1:12" x14ac:dyDescent="0.3">
      <c r="A2184" s="3"/>
      <c r="C2184" s="1"/>
      <c r="E2184" s="1"/>
      <c r="J2184" s="3"/>
      <c r="L2184" s="1"/>
    </row>
    <row r="2185" spans="1:12" x14ac:dyDescent="0.3">
      <c r="A2185" s="3"/>
      <c r="C2185" s="1"/>
      <c r="E2185" s="1"/>
      <c r="J2185" s="3"/>
      <c r="L2185" s="1"/>
    </row>
    <row r="2186" spans="1:12" x14ac:dyDescent="0.3">
      <c r="A2186" s="3"/>
      <c r="C2186" s="1"/>
      <c r="E2186" s="1"/>
      <c r="J2186" s="3"/>
      <c r="L2186" s="1"/>
    </row>
    <row r="2187" spans="1:12" x14ac:dyDescent="0.3">
      <c r="A2187" s="3"/>
      <c r="C2187" s="1"/>
      <c r="E2187" s="1"/>
      <c r="J2187" s="3"/>
      <c r="L2187" s="1"/>
    </row>
    <row r="2188" spans="1:12" x14ac:dyDescent="0.3">
      <c r="A2188" s="3"/>
      <c r="C2188" s="1"/>
      <c r="E2188" s="1"/>
      <c r="J2188" s="3"/>
      <c r="L2188" s="1"/>
    </row>
    <row r="2189" spans="1:12" x14ac:dyDescent="0.3">
      <c r="A2189" s="3"/>
      <c r="C2189" s="1"/>
      <c r="E2189" s="1"/>
      <c r="J2189" s="3"/>
      <c r="L2189" s="1"/>
    </row>
    <row r="2190" spans="1:12" x14ac:dyDescent="0.3">
      <c r="A2190" s="3"/>
      <c r="C2190" s="1"/>
      <c r="E2190" s="1"/>
      <c r="J2190" s="3"/>
      <c r="L2190" s="1"/>
    </row>
    <row r="2191" spans="1:12" x14ac:dyDescent="0.3">
      <c r="A2191" s="3"/>
      <c r="C2191" s="1"/>
      <c r="E2191" s="1"/>
      <c r="J2191" s="3"/>
      <c r="L2191" s="1"/>
    </row>
    <row r="2192" spans="1:12" x14ac:dyDescent="0.3">
      <c r="A2192" s="3"/>
      <c r="C2192" s="1"/>
      <c r="E2192" s="1"/>
      <c r="J2192" s="3"/>
      <c r="L2192" s="1"/>
    </row>
    <row r="2193" spans="1:12" x14ac:dyDescent="0.3">
      <c r="A2193" s="3"/>
      <c r="C2193" s="1"/>
      <c r="E2193" s="1"/>
      <c r="J2193" s="3"/>
      <c r="L2193" s="1"/>
    </row>
    <row r="2194" spans="1:12" x14ac:dyDescent="0.3">
      <c r="A2194" s="3"/>
      <c r="C2194" s="1"/>
      <c r="E2194" s="1"/>
      <c r="J2194" s="3"/>
      <c r="L2194" s="1"/>
    </row>
    <row r="2195" spans="1:12" x14ac:dyDescent="0.3">
      <c r="A2195" s="3"/>
      <c r="C2195" s="1"/>
      <c r="E2195" s="1"/>
      <c r="J2195" s="3"/>
      <c r="L2195" s="1"/>
    </row>
    <row r="2196" spans="1:12" x14ac:dyDescent="0.3">
      <c r="A2196" s="3"/>
      <c r="C2196" s="1"/>
      <c r="E2196" s="1"/>
      <c r="J2196" s="3"/>
      <c r="L2196" s="1"/>
    </row>
    <row r="2197" spans="1:12" x14ac:dyDescent="0.3">
      <c r="A2197" s="3"/>
      <c r="C2197" s="1"/>
      <c r="E2197" s="1"/>
      <c r="J2197" s="3"/>
      <c r="L2197" s="1"/>
    </row>
    <row r="2198" spans="1:12" x14ac:dyDescent="0.3">
      <c r="A2198" s="3"/>
      <c r="C2198" s="1"/>
      <c r="E2198" s="1"/>
      <c r="J2198" s="3"/>
      <c r="L2198" s="1"/>
    </row>
    <row r="2199" spans="1:12" x14ac:dyDescent="0.3">
      <c r="A2199" s="3"/>
      <c r="C2199" s="1"/>
      <c r="E2199" s="1"/>
      <c r="J2199" s="3"/>
      <c r="L2199" s="1"/>
    </row>
    <row r="2200" spans="1:12" x14ac:dyDescent="0.3">
      <c r="A2200" s="3"/>
      <c r="C2200" s="1"/>
      <c r="E2200" s="1"/>
      <c r="J2200" s="3"/>
      <c r="L2200" s="1"/>
    </row>
    <row r="2201" spans="1:12" x14ac:dyDescent="0.3">
      <c r="A2201" s="3"/>
      <c r="C2201" s="1"/>
      <c r="E2201" s="1"/>
      <c r="J2201" s="3"/>
      <c r="L2201" s="1"/>
    </row>
    <row r="2202" spans="1:12" x14ac:dyDescent="0.3">
      <c r="A2202" s="3"/>
      <c r="C2202" s="1"/>
      <c r="E2202" s="1"/>
      <c r="J2202" s="3"/>
      <c r="L2202" s="1"/>
    </row>
    <row r="2203" spans="1:12" x14ac:dyDescent="0.3">
      <c r="A2203" s="3"/>
      <c r="C2203" s="1"/>
      <c r="E2203" s="1"/>
      <c r="J2203" s="3"/>
      <c r="L2203" s="1"/>
    </row>
    <row r="2204" spans="1:12" x14ac:dyDescent="0.3">
      <c r="A2204" s="3"/>
      <c r="C2204" s="1"/>
      <c r="E2204" s="1"/>
      <c r="J2204" s="3"/>
      <c r="L2204" s="1"/>
    </row>
    <row r="2205" spans="1:12" x14ac:dyDescent="0.3">
      <c r="A2205" s="3"/>
      <c r="C2205" s="1"/>
      <c r="E2205" s="1"/>
      <c r="J2205" s="3"/>
      <c r="L2205" s="1"/>
    </row>
    <row r="2206" spans="1:12" x14ac:dyDescent="0.3">
      <c r="A2206" s="3"/>
      <c r="C2206" s="1"/>
      <c r="E2206" s="1"/>
      <c r="J2206" s="3"/>
      <c r="L2206" s="1"/>
    </row>
    <row r="2207" spans="1:12" x14ac:dyDescent="0.3">
      <c r="A2207" s="3"/>
      <c r="C2207" s="1"/>
      <c r="E2207" s="1"/>
      <c r="J2207" s="3"/>
      <c r="L2207" s="1"/>
    </row>
    <row r="2208" spans="1:12" x14ac:dyDescent="0.3">
      <c r="A2208" s="3"/>
      <c r="C2208" s="1"/>
      <c r="E2208" s="1"/>
      <c r="J2208" s="3"/>
      <c r="L2208" s="1"/>
    </row>
    <row r="2209" spans="1:12" x14ac:dyDescent="0.3">
      <c r="A2209" s="3"/>
      <c r="C2209" s="1"/>
      <c r="E2209" s="1"/>
      <c r="J2209" s="3"/>
      <c r="L2209" s="1"/>
    </row>
    <row r="2210" spans="1:12" x14ac:dyDescent="0.3">
      <c r="A2210" s="3"/>
      <c r="C2210" s="1"/>
      <c r="E2210" s="1"/>
      <c r="J2210" s="3"/>
      <c r="L2210" s="1"/>
    </row>
    <row r="2211" spans="1:12" x14ac:dyDescent="0.3">
      <c r="A2211" s="3"/>
      <c r="C2211" s="1"/>
      <c r="E2211" s="1"/>
      <c r="J2211" s="3"/>
      <c r="L2211" s="1"/>
    </row>
    <row r="2212" spans="1:12" x14ac:dyDescent="0.3">
      <c r="A2212" s="3"/>
      <c r="C2212" s="1"/>
      <c r="E2212" s="1"/>
      <c r="J2212" s="3"/>
      <c r="L2212" s="1"/>
    </row>
    <row r="2213" spans="1:12" x14ac:dyDescent="0.3">
      <c r="A2213" s="3"/>
      <c r="C2213" s="1"/>
      <c r="E2213" s="1"/>
      <c r="J2213" s="3"/>
      <c r="L2213" s="1"/>
    </row>
    <row r="2214" spans="1:12" x14ac:dyDescent="0.3">
      <c r="A2214" s="3"/>
      <c r="C2214" s="1"/>
      <c r="E2214" s="1"/>
      <c r="J2214" s="3"/>
      <c r="L2214" s="1"/>
    </row>
    <row r="2215" spans="1:12" x14ac:dyDescent="0.3">
      <c r="A2215" s="3"/>
      <c r="C2215" s="1"/>
      <c r="E2215" s="1"/>
      <c r="J2215" s="3"/>
      <c r="L2215" s="1"/>
    </row>
    <row r="2216" spans="1:12" x14ac:dyDescent="0.3">
      <c r="A2216" s="3"/>
      <c r="C2216" s="1"/>
      <c r="E2216" s="1"/>
      <c r="J2216" s="3"/>
      <c r="L2216" s="1"/>
    </row>
    <row r="2217" spans="1:12" x14ac:dyDescent="0.3">
      <c r="A2217" s="3"/>
      <c r="C2217" s="1"/>
      <c r="E2217" s="1"/>
      <c r="J2217" s="3"/>
      <c r="L2217" s="1"/>
    </row>
    <row r="2218" spans="1:12" x14ac:dyDescent="0.3">
      <c r="A2218" s="3"/>
      <c r="C2218" s="1"/>
      <c r="E2218" s="1"/>
      <c r="J2218" s="3"/>
      <c r="L2218" s="1"/>
    </row>
    <row r="2219" spans="1:12" x14ac:dyDescent="0.3">
      <c r="A2219" s="3"/>
      <c r="C2219" s="1"/>
      <c r="E2219" s="1"/>
      <c r="J2219" s="3"/>
      <c r="L2219" s="1"/>
    </row>
    <row r="2220" spans="1:12" x14ac:dyDescent="0.3">
      <c r="A2220" s="3"/>
      <c r="C2220" s="1"/>
      <c r="E2220" s="1"/>
      <c r="J2220" s="3"/>
      <c r="L2220" s="1"/>
    </row>
    <row r="2221" spans="1:12" x14ac:dyDescent="0.3">
      <c r="A2221" s="3"/>
      <c r="C2221" s="1"/>
      <c r="E2221" s="1"/>
      <c r="J2221" s="3"/>
      <c r="L2221" s="1"/>
    </row>
    <row r="2222" spans="1:12" x14ac:dyDescent="0.3">
      <c r="A2222" s="3"/>
      <c r="C2222" s="1"/>
      <c r="E2222" s="1"/>
      <c r="J2222" s="3"/>
      <c r="L2222" s="1"/>
    </row>
    <row r="2223" spans="1:12" x14ac:dyDescent="0.3">
      <c r="A2223" s="3"/>
      <c r="C2223" s="1"/>
      <c r="E2223" s="1"/>
      <c r="J2223" s="3"/>
      <c r="L2223" s="1"/>
    </row>
    <row r="2224" spans="1:12" x14ac:dyDescent="0.3">
      <c r="A2224" s="3"/>
      <c r="C2224" s="1"/>
      <c r="E2224" s="1"/>
      <c r="J2224" s="3"/>
      <c r="L2224" s="1"/>
    </row>
    <row r="2225" spans="1:12" x14ac:dyDescent="0.3">
      <c r="A2225" s="3"/>
      <c r="C2225" s="1"/>
      <c r="E2225" s="1"/>
      <c r="J2225" s="3"/>
      <c r="L2225" s="1"/>
    </row>
    <row r="2226" spans="1:12" x14ac:dyDescent="0.3">
      <c r="A2226" s="3"/>
      <c r="C2226" s="1"/>
      <c r="E2226" s="1"/>
      <c r="J2226" s="3"/>
      <c r="L2226" s="1"/>
    </row>
    <row r="2227" spans="1:12" x14ac:dyDescent="0.3">
      <c r="A2227" s="3"/>
      <c r="C2227" s="1"/>
      <c r="E2227" s="1"/>
      <c r="J2227" s="3"/>
      <c r="L2227" s="1"/>
    </row>
    <row r="2228" spans="1:12" x14ac:dyDescent="0.3">
      <c r="A2228" s="3"/>
      <c r="C2228" s="1"/>
      <c r="E2228" s="1"/>
      <c r="J2228" s="3"/>
      <c r="L2228" s="1"/>
    </row>
    <row r="2229" spans="1:12" x14ac:dyDescent="0.3">
      <c r="A2229" s="3"/>
      <c r="C2229" s="1"/>
      <c r="E2229" s="1"/>
      <c r="J2229" s="3"/>
      <c r="L2229" s="1"/>
    </row>
    <row r="2230" spans="1:12" x14ac:dyDescent="0.3">
      <c r="A2230" s="3"/>
      <c r="C2230" s="1"/>
      <c r="E2230" s="1"/>
      <c r="J2230" s="3"/>
      <c r="L2230" s="1"/>
    </row>
    <row r="2231" spans="1:12" x14ac:dyDescent="0.3">
      <c r="A2231" s="3"/>
      <c r="C2231" s="1"/>
      <c r="E2231" s="1"/>
      <c r="J2231" s="3"/>
      <c r="L2231" s="1"/>
    </row>
    <row r="2232" spans="1:12" x14ac:dyDescent="0.3">
      <c r="A2232" s="3"/>
      <c r="C2232" s="1"/>
      <c r="E2232" s="1"/>
      <c r="J2232" s="3"/>
      <c r="L2232" s="1"/>
    </row>
    <row r="2233" spans="1:12" x14ac:dyDescent="0.3">
      <c r="A2233" s="3"/>
      <c r="C2233" s="1"/>
      <c r="E2233" s="1"/>
      <c r="J2233" s="3"/>
      <c r="L2233" s="1"/>
    </row>
    <row r="2234" spans="1:12" x14ac:dyDescent="0.3">
      <c r="A2234" s="3"/>
      <c r="C2234" s="1"/>
      <c r="E2234" s="1"/>
      <c r="J2234" s="3"/>
      <c r="L2234" s="1"/>
    </row>
    <row r="2235" spans="1:12" x14ac:dyDescent="0.3">
      <c r="A2235" s="3"/>
      <c r="C2235" s="1"/>
      <c r="E2235" s="1"/>
      <c r="J2235" s="3"/>
      <c r="L2235" s="1"/>
    </row>
    <row r="2236" spans="1:12" x14ac:dyDescent="0.3">
      <c r="A2236" s="3"/>
      <c r="C2236" s="1"/>
      <c r="E2236" s="1"/>
      <c r="J2236" s="3"/>
      <c r="L2236" s="1"/>
    </row>
    <row r="2237" spans="1:12" x14ac:dyDescent="0.3">
      <c r="A2237" s="3"/>
      <c r="C2237" s="1"/>
      <c r="E2237" s="1"/>
      <c r="J2237" s="3"/>
      <c r="L2237" s="1"/>
    </row>
    <row r="2238" spans="1:12" x14ac:dyDescent="0.3">
      <c r="A2238" s="3"/>
      <c r="C2238" s="1"/>
      <c r="E2238" s="1"/>
      <c r="J2238" s="3"/>
      <c r="L2238" s="1"/>
    </row>
    <row r="2239" spans="1:12" x14ac:dyDescent="0.3">
      <c r="A2239" s="3"/>
      <c r="C2239" s="1"/>
      <c r="E2239" s="1"/>
      <c r="J2239" s="3"/>
      <c r="L2239" s="1"/>
    </row>
    <row r="2240" spans="1:12" x14ac:dyDescent="0.3">
      <c r="A2240" s="3"/>
      <c r="C2240" s="1"/>
      <c r="E2240" s="1"/>
      <c r="J2240" s="3"/>
      <c r="L2240" s="1"/>
    </row>
    <row r="2241" spans="1:12" x14ac:dyDescent="0.3">
      <c r="A2241" s="3"/>
      <c r="C2241" s="1"/>
      <c r="E2241" s="1"/>
      <c r="J2241" s="3"/>
      <c r="L2241" s="1"/>
    </row>
    <row r="2242" spans="1:12" x14ac:dyDescent="0.3">
      <c r="A2242" s="3"/>
      <c r="C2242" s="1"/>
      <c r="E2242" s="1"/>
      <c r="J2242" s="3"/>
      <c r="L2242" s="1"/>
    </row>
    <row r="2243" spans="1:12" x14ac:dyDescent="0.3">
      <c r="A2243" s="3"/>
      <c r="C2243" s="1"/>
      <c r="E2243" s="1"/>
      <c r="J2243" s="3"/>
      <c r="L2243" s="1"/>
    </row>
    <row r="2244" spans="1:12" x14ac:dyDescent="0.3">
      <c r="A2244" s="3"/>
      <c r="C2244" s="1"/>
      <c r="E2244" s="1"/>
      <c r="J2244" s="3"/>
      <c r="L2244" s="1"/>
    </row>
    <row r="2245" spans="1:12" x14ac:dyDescent="0.3">
      <c r="A2245" s="3"/>
      <c r="C2245" s="1"/>
      <c r="E2245" s="1"/>
      <c r="J2245" s="3"/>
      <c r="L2245" s="1"/>
    </row>
    <row r="2246" spans="1:12" x14ac:dyDescent="0.3">
      <c r="A2246" s="3"/>
      <c r="C2246" s="1"/>
      <c r="E2246" s="1"/>
      <c r="J2246" s="3"/>
      <c r="L2246" s="1"/>
    </row>
    <row r="2247" spans="1:12" x14ac:dyDescent="0.3">
      <c r="A2247" s="3"/>
      <c r="C2247" s="1"/>
      <c r="E2247" s="1"/>
      <c r="J2247" s="3"/>
      <c r="L2247" s="1"/>
    </row>
    <row r="2248" spans="1:12" x14ac:dyDescent="0.3">
      <c r="A2248" s="3"/>
      <c r="C2248" s="1"/>
      <c r="E2248" s="1"/>
      <c r="J2248" s="3"/>
      <c r="L2248" s="1"/>
    </row>
    <row r="2249" spans="1:12" x14ac:dyDescent="0.3">
      <c r="A2249" s="3"/>
      <c r="C2249" s="1"/>
      <c r="E2249" s="1"/>
      <c r="J2249" s="3"/>
      <c r="L2249" s="1"/>
    </row>
    <row r="2250" spans="1:12" x14ac:dyDescent="0.3">
      <c r="A2250" s="3"/>
      <c r="C2250" s="1"/>
      <c r="E2250" s="1"/>
      <c r="J2250" s="3"/>
      <c r="L2250" s="1"/>
    </row>
    <row r="2251" spans="1:12" x14ac:dyDescent="0.3">
      <c r="A2251" s="3"/>
      <c r="C2251" s="1"/>
      <c r="E2251" s="1"/>
      <c r="J2251" s="3"/>
      <c r="L2251" s="1"/>
    </row>
    <row r="2252" spans="1:12" x14ac:dyDescent="0.3">
      <c r="A2252" s="3"/>
      <c r="C2252" s="1"/>
      <c r="E2252" s="1"/>
      <c r="J2252" s="3"/>
      <c r="L2252" s="1"/>
    </row>
    <row r="2253" spans="1:12" x14ac:dyDescent="0.3">
      <c r="A2253" s="3"/>
      <c r="C2253" s="1"/>
      <c r="E2253" s="1"/>
      <c r="J2253" s="3"/>
      <c r="L2253" s="1"/>
    </row>
    <row r="2254" spans="1:12" x14ac:dyDescent="0.3">
      <c r="A2254" s="3"/>
      <c r="C2254" s="1"/>
      <c r="E2254" s="1"/>
      <c r="J2254" s="3"/>
      <c r="L2254" s="1"/>
    </row>
    <row r="2255" spans="1:12" x14ac:dyDescent="0.3">
      <c r="A2255" s="3"/>
      <c r="C2255" s="1"/>
      <c r="E2255" s="1"/>
      <c r="J2255" s="3"/>
      <c r="L2255" s="1"/>
    </row>
    <row r="2256" spans="1:12" x14ac:dyDescent="0.3">
      <c r="A2256" s="3"/>
      <c r="C2256" s="1"/>
      <c r="E2256" s="1"/>
      <c r="J2256" s="3"/>
      <c r="L2256" s="1"/>
    </row>
    <row r="2257" spans="1:12" x14ac:dyDescent="0.3">
      <c r="A2257" s="3"/>
      <c r="C2257" s="1"/>
      <c r="E2257" s="1"/>
      <c r="J2257" s="3"/>
      <c r="L2257" s="1"/>
    </row>
    <row r="2258" spans="1:12" x14ac:dyDescent="0.3">
      <c r="A2258" s="3"/>
      <c r="C2258" s="1"/>
      <c r="E2258" s="1"/>
      <c r="J2258" s="3"/>
      <c r="L2258" s="1"/>
    </row>
    <row r="2259" spans="1:12" x14ac:dyDescent="0.3">
      <c r="A2259" s="3"/>
      <c r="C2259" s="1"/>
      <c r="E2259" s="1"/>
      <c r="J2259" s="3"/>
      <c r="L2259" s="1"/>
    </row>
    <row r="2260" spans="1:12" x14ac:dyDescent="0.3">
      <c r="A2260" s="3"/>
      <c r="C2260" s="1"/>
      <c r="E2260" s="1"/>
      <c r="J2260" s="3"/>
      <c r="L2260" s="1"/>
    </row>
    <row r="2261" spans="1:12" x14ac:dyDescent="0.3">
      <c r="A2261" s="3"/>
      <c r="C2261" s="1"/>
      <c r="E2261" s="1"/>
      <c r="J2261" s="3"/>
      <c r="L2261" s="1"/>
    </row>
    <row r="2262" spans="1:12" x14ac:dyDescent="0.3">
      <c r="A2262" s="3"/>
      <c r="C2262" s="1"/>
      <c r="E2262" s="1"/>
      <c r="J2262" s="3"/>
      <c r="L2262" s="1"/>
    </row>
    <row r="2263" spans="1:12" x14ac:dyDescent="0.3">
      <c r="A2263" s="3"/>
      <c r="C2263" s="1"/>
      <c r="E2263" s="1"/>
      <c r="J2263" s="3"/>
      <c r="L2263" s="1"/>
    </row>
    <row r="2264" spans="1:12" x14ac:dyDescent="0.3">
      <c r="A2264" s="3"/>
      <c r="C2264" s="1"/>
      <c r="E2264" s="1"/>
      <c r="J2264" s="3"/>
      <c r="L2264" s="1"/>
    </row>
    <row r="2265" spans="1:12" x14ac:dyDescent="0.3">
      <c r="A2265" s="3"/>
      <c r="C2265" s="1"/>
      <c r="E2265" s="1"/>
      <c r="J2265" s="3"/>
      <c r="L2265" s="1"/>
    </row>
    <row r="2266" spans="1:12" x14ac:dyDescent="0.3">
      <c r="A2266" s="3"/>
      <c r="C2266" s="1"/>
      <c r="E2266" s="1"/>
      <c r="J2266" s="3"/>
      <c r="L2266" s="1"/>
    </row>
    <row r="2267" spans="1:12" x14ac:dyDescent="0.3">
      <c r="A2267" s="3"/>
      <c r="C2267" s="1"/>
      <c r="E2267" s="1"/>
      <c r="J2267" s="3"/>
      <c r="L2267" s="1"/>
    </row>
    <row r="2268" spans="1:12" x14ac:dyDescent="0.3">
      <c r="A2268" s="3"/>
      <c r="C2268" s="1"/>
      <c r="E2268" s="1"/>
      <c r="J2268" s="3"/>
      <c r="L2268" s="1"/>
    </row>
    <row r="2269" spans="1:12" x14ac:dyDescent="0.3">
      <c r="A2269" s="3"/>
      <c r="C2269" s="1"/>
      <c r="E2269" s="1"/>
      <c r="J2269" s="3"/>
      <c r="L2269" s="1"/>
    </row>
    <row r="2270" spans="1:12" x14ac:dyDescent="0.3">
      <c r="A2270" s="3"/>
      <c r="C2270" s="1"/>
      <c r="E2270" s="1"/>
      <c r="J2270" s="3"/>
      <c r="L2270" s="1"/>
    </row>
    <row r="2271" spans="1:12" x14ac:dyDescent="0.3">
      <c r="A2271" s="3"/>
      <c r="C2271" s="1"/>
      <c r="E2271" s="1"/>
      <c r="J2271" s="3"/>
      <c r="L2271" s="1"/>
    </row>
    <row r="2272" spans="1:12" x14ac:dyDescent="0.3">
      <c r="A2272" s="3"/>
      <c r="C2272" s="1"/>
      <c r="E2272" s="1"/>
      <c r="J2272" s="3"/>
      <c r="L2272" s="1"/>
    </row>
    <row r="2273" spans="1:12" x14ac:dyDescent="0.3">
      <c r="A2273" s="3"/>
      <c r="C2273" s="1"/>
      <c r="E2273" s="1"/>
      <c r="J2273" s="3"/>
      <c r="L2273" s="1"/>
    </row>
    <row r="2274" spans="1:12" x14ac:dyDescent="0.3">
      <c r="A2274" s="3"/>
      <c r="C2274" s="1"/>
      <c r="E2274" s="1"/>
      <c r="J2274" s="3"/>
      <c r="L2274" s="1"/>
    </row>
    <row r="2275" spans="1:12" x14ac:dyDescent="0.3">
      <c r="A2275" s="3"/>
      <c r="C2275" s="1"/>
      <c r="E2275" s="1"/>
      <c r="J2275" s="3"/>
      <c r="L2275" s="1"/>
    </row>
    <row r="2276" spans="1:12" x14ac:dyDescent="0.3">
      <c r="A2276" s="3"/>
      <c r="C2276" s="1"/>
      <c r="E2276" s="1"/>
      <c r="J2276" s="3"/>
      <c r="L2276" s="1"/>
    </row>
    <row r="2277" spans="1:12" x14ac:dyDescent="0.3">
      <c r="A2277" s="3"/>
      <c r="C2277" s="1"/>
      <c r="E2277" s="1"/>
      <c r="J2277" s="3"/>
      <c r="L2277" s="1"/>
    </row>
    <row r="2278" spans="1:12" x14ac:dyDescent="0.3">
      <c r="A2278" s="3"/>
      <c r="C2278" s="1"/>
      <c r="E2278" s="1"/>
      <c r="J2278" s="3"/>
      <c r="L2278" s="1"/>
    </row>
    <row r="2279" spans="1:12" x14ac:dyDescent="0.3">
      <c r="A2279" s="3"/>
      <c r="C2279" s="1"/>
      <c r="E2279" s="1"/>
      <c r="J2279" s="3"/>
      <c r="L2279" s="1"/>
    </row>
    <row r="2280" spans="1:12" x14ac:dyDescent="0.3">
      <c r="A2280" s="3"/>
      <c r="C2280" s="1"/>
      <c r="E2280" s="1"/>
      <c r="J2280" s="3"/>
      <c r="L2280" s="1"/>
    </row>
    <row r="2281" spans="1:12" x14ac:dyDescent="0.3">
      <c r="A2281" s="3"/>
      <c r="C2281" s="1"/>
      <c r="E2281" s="1"/>
      <c r="J2281" s="3"/>
      <c r="L2281" s="1"/>
    </row>
    <row r="2282" spans="1:12" x14ac:dyDescent="0.3">
      <c r="A2282" s="3"/>
      <c r="C2282" s="1"/>
      <c r="E2282" s="1"/>
      <c r="J2282" s="3"/>
      <c r="L2282" s="1"/>
    </row>
    <row r="2283" spans="1:12" x14ac:dyDescent="0.3">
      <c r="A2283" s="3"/>
      <c r="C2283" s="1"/>
      <c r="E2283" s="1"/>
      <c r="J2283" s="3"/>
      <c r="L2283" s="1"/>
    </row>
    <row r="2284" spans="1:12" x14ac:dyDescent="0.3">
      <c r="A2284" s="3"/>
      <c r="C2284" s="1"/>
      <c r="E2284" s="1"/>
      <c r="J2284" s="3"/>
      <c r="L2284" s="1"/>
    </row>
    <row r="2285" spans="1:12" x14ac:dyDescent="0.3">
      <c r="A2285" s="3"/>
      <c r="C2285" s="1"/>
      <c r="E2285" s="1"/>
      <c r="J2285" s="3"/>
      <c r="L2285" s="1"/>
    </row>
    <row r="2286" spans="1:12" x14ac:dyDescent="0.3">
      <c r="A2286" s="3"/>
      <c r="C2286" s="1"/>
      <c r="E2286" s="1"/>
      <c r="J2286" s="3"/>
      <c r="L2286" s="1"/>
    </row>
    <row r="2287" spans="1:12" x14ac:dyDescent="0.3">
      <c r="A2287" s="3"/>
      <c r="C2287" s="1"/>
      <c r="E2287" s="1"/>
      <c r="J2287" s="3"/>
      <c r="L2287" s="1"/>
    </row>
    <row r="2288" spans="1:12" x14ac:dyDescent="0.3">
      <c r="A2288" s="3"/>
      <c r="C2288" s="1"/>
      <c r="E2288" s="1"/>
      <c r="J2288" s="3"/>
      <c r="L2288" s="1"/>
    </row>
    <row r="2289" spans="1:12" x14ac:dyDescent="0.3">
      <c r="A2289" s="3"/>
      <c r="C2289" s="1"/>
      <c r="E2289" s="1"/>
      <c r="J2289" s="3"/>
      <c r="L2289" s="1"/>
    </row>
    <row r="2290" spans="1:12" x14ac:dyDescent="0.3">
      <c r="A2290" s="3"/>
      <c r="C2290" s="1"/>
      <c r="E2290" s="1"/>
      <c r="J2290" s="3"/>
      <c r="L2290" s="1"/>
    </row>
    <row r="2291" spans="1:12" x14ac:dyDescent="0.3">
      <c r="A2291" s="3"/>
      <c r="C2291" s="1"/>
      <c r="E2291" s="1"/>
      <c r="J2291" s="3"/>
      <c r="L2291" s="1"/>
    </row>
    <row r="2292" spans="1:12" x14ac:dyDescent="0.3">
      <c r="A2292" s="3"/>
      <c r="C2292" s="1"/>
      <c r="E2292" s="1"/>
      <c r="J2292" s="3"/>
      <c r="L2292" s="1"/>
    </row>
    <row r="2293" spans="1:12" x14ac:dyDescent="0.3">
      <c r="A2293" s="3"/>
      <c r="C2293" s="1"/>
      <c r="E2293" s="1"/>
      <c r="J2293" s="3"/>
      <c r="L2293" s="1"/>
    </row>
    <row r="2294" spans="1:12" x14ac:dyDescent="0.3">
      <c r="A2294" s="3"/>
      <c r="C2294" s="1"/>
      <c r="E2294" s="1"/>
      <c r="J2294" s="3"/>
      <c r="L2294" s="1"/>
    </row>
    <row r="2295" spans="1:12" x14ac:dyDescent="0.3">
      <c r="A2295" s="3"/>
      <c r="C2295" s="1"/>
      <c r="E2295" s="1"/>
      <c r="J2295" s="3"/>
      <c r="L2295" s="1"/>
    </row>
    <row r="2296" spans="1:12" x14ac:dyDescent="0.3">
      <c r="A2296" s="3"/>
      <c r="C2296" s="1"/>
      <c r="E2296" s="1"/>
      <c r="J2296" s="3"/>
      <c r="L2296" s="1"/>
    </row>
    <row r="2297" spans="1:12" x14ac:dyDescent="0.3">
      <c r="A2297" s="3"/>
      <c r="C2297" s="1"/>
      <c r="E2297" s="1"/>
      <c r="J2297" s="3"/>
      <c r="L2297" s="1"/>
    </row>
    <row r="2298" spans="1:12" x14ac:dyDescent="0.3">
      <c r="A2298" s="3"/>
      <c r="C2298" s="1"/>
      <c r="E2298" s="1"/>
      <c r="J2298" s="3"/>
      <c r="L2298" s="1"/>
    </row>
    <row r="2299" spans="1:12" x14ac:dyDescent="0.3">
      <c r="A2299" s="3"/>
      <c r="C2299" s="1"/>
      <c r="E2299" s="1"/>
      <c r="J2299" s="3"/>
      <c r="L2299" s="1"/>
    </row>
    <row r="2300" spans="1:12" x14ac:dyDescent="0.3">
      <c r="A2300" s="3"/>
      <c r="C2300" s="1"/>
      <c r="E2300" s="1"/>
      <c r="J2300" s="3"/>
      <c r="L2300" s="1"/>
    </row>
    <row r="2301" spans="1:12" x14ac:dyDescent="0.3">
      <c r="A2301" s="3"/>
      <c r="C2301" s="1"/>
      <c r="E2301" s="1"/>
      <c r="J2301" s="3"/>
      <c r="L2301" s="1"/>
    </row>
    <row r="2302" spans="1:12" x14ac:dyDescent="0.3">
      <c r="A2302" s="3"/>
      <c r="C2302" s="1"/>
      <c r="E2302" s="1"/>
      <c r="J2302" s="3"/>
      <c r="L2302" s="1"/>
    </row>
    <row r="2303" spans="1:12" x14ac:dyDescent="0.3">
      <c r="A2303" s="3"/>
      <c r="C2303" s="1"/>
      <c r="E2303" s="1"/>
      <c r="J2303" s="3"/>
      <c r="L2303" s="1"/>
    </row>
    <row r="2304" spans="1:12" x14ac:dyDescent="0.3">
      <c r="A2304" s="3"/>
      <c r="C2304" s="1"/>
      <c r="E2304" s="1"/>
      <c r="J2304" s="3"/>
      <c r="L2304" s="1"/>
    </row>
    <row r="2305" spans="1:12" x14ac:dyDescent="0.3">
      <c r="A2305" s="3"/>
      <c r="C2305" s="1"/>
      <c r="E2305" s="1"/>
      <c r="J2305" s="3"/>
      <c r="L2305" s="1"/>
    </row>
    <row r="2306" spans="1:12" x14ac:dyDescent="0.3">
      <c r="A2306" s="3"/>
      <c r="C2306" s="1"/>
      <c r="E2306" s="1"/>
      <c r="J2306" s="3"/>
      <c r="L2306" s="1"/>
    </row>
    <row r="2307" spans="1:12" x14ac:dyDescent="0.3">
      <c r="A2307" s="3"/>
      <c r="C2307" s="1"/>
      <c r="E2307" s="1"/>
      <c r="J2307" s="3"/>
      <c r="L2307" s="1"/>
    </row>
    <row r="2308" spans="1:12" x14ac:dyDescent="0.3">
      <c r="A2308" s="3"/>
      <c r="C2308" s="1"/>
      <c r="E2308" s="1"/>
      <c r="J2308" s="3"/>
      <c r="L2308" s="1"/>
    </row>
    <row r="2309" spans="1:12" x14ac:dyDescent="0.3">
      <c r="A2309" s="3"/>
      <c r="C2309" s="1"/>
      <c r="E2309" s="1"/>
      <c r="J2309" s="3"/>
      <c r="L2309" s="1"/>
    </row>
    <row r="2310" spans="1:12" x14ac:dyDescent="0.3">
      <c r="A2310" s="3"/>
      <c r="C2310" s="1"/>
      <c r="E2310" s="1"/>
      <c r="J2310" s="3"/>
      <c r="L2310" s="1"/>
    </row>
    <row r="2311" spans="1:12" x14ac:dyDescent="0.3">
      <c r="A2311" s="3"/>
      <c r="C2311" s="1"/>
      <c r="E2311" s="1"/>
      <c r="J2311" s="3"/>
      <c r="L2311" s="1"/>
    </row>
    <row r="2312" spans="1:12" x14ac:dyDescent="0.3">
      <c r="A2312" s="3"/>
      <c r="C2312" s="1"/>
      <c r="E2312" s="1"/>
      <c r="J2312" s="3"/>
      <c r="L2312" s="1"/>
    </row>
    <row r="2313" spans="1:12" x14ac:dyDescent="0.3">
      <c r="A2313" s="3"/>
      <c r="C2313" s="1"/>
      <c r="E2313" s="1"/>
      <c r="J2313" s="3"/>
      <c r="L2313" s="1"/>
    </row>
    <row r="2314" spans="1:12" x14ac:dyDescent="0.3">
      <c r="A2314" s="3"/>
      <c r="C2314" s="1"/>
      <c r="E2314" s="1"/>
      <c r="J2314" s="3"/>
      <c r="L2314" s="1"/>
    </row>
    <row r="2315" spans="1:12" x14ac:dyDescent="0.3">
      <c r="A2315" s="3"/>
      <c r="C2315" s="1"/>
      <c r="E2315" s="1"/>
      <c r="J2315" s="3"/>
      <c r="L2315" s="1"/>
    </row>
    <row r="2316" spans="1:12" x14ac:dyDescent="0.3">
      <c r="A2316" s="3"/>
      <c r="C2316" s="1"/>
      <c r="E2316" s="1"/>
      <c r="J2316" s="3"/>
      <c r="L2316" s="1"/>
    </row>
    <row r="2317" spans="1:12" x14ac:dyDescent="0.3">
      <c r="A2317" s="3"/>
      <c r="C2317" s="1"/>
      <c r="E2317" s="1"/>
      <c r="J2317" s="3"/>
      <c r="L2317" s="1"/>
    </row>
    <row r="2318" spans="1:12" x14ac:dyDescent="0.3">
      <c r="A2318" s="3"/>
      <c r="C2318" s="1"/>
      <c r="E2318" s="1"/>
      <c r="J2318" s="3"/>
      <c r="L2318" s="1"/>
    </row>
    <row r="2319" spans="1:12" x14ac:dyDescent="0.3">
      <c r="A2319" s="3"/>
      <c r="C2319" s="1"/>
      <c r="E2319" s="1"/>
      <c r="J2319" s="3"/>
      <c r="L2319" s="1"/>
    </row>
    <row r="2320" spans="1:12" x14ac:dyDescent="0.3">
      <c r="A2320" s="3"/>
      <c r="C2320" s="1"/>
      <c r="E2320" s="1"/>
      <c r="J2320" s="3"/>
      <c r="L2320" s="1"/>
    </row>
    <row r="2321" spans="1:12" x14ac:dyDescent="0.3">
      <c r="A2321" s="3"/>
      <c r="C2321" s="1"/>
      <c r="E2321" s="1"/>
      <c r="J2321" s="3"/>
      <c r="L2321" s="1"/>
    </row>
    <row r="2322" spans="1:12" x14ac:dyDescent="0.3">
      <c r="A2322" s="3"/>
      <c r="C2322" s="1"/>
      <c r="E2322" s="1"/>
      <c r="J2322" s="3"/>
      <c r="L2322" s="1"/>
    </row>
    <row r="2323" spans="1:12" x14ac:dyDescent="0.3">
      <c r="A2323" s="3"/>
      <c r="C2323" s="1"/>
      <c r="E2323" s="1"/>
      <c r="J2323" s="3"/>
      <c r="L2323" s="1"/>
    </row>
    <row r="2324" spans="1:12" x14ac:dyDescent="0.3">
      <c r="A2324" s="3"/>
      <c r="C2324" s="1"/>
      <c r="E2324" s="1"/>
      <c r="J2324" s="3"/>
      <c r="L2324" s="1"/>
    </row>
    <row r="2325" spans="1:12" x14ac:dyDescent="0.3">
      <c r="A2325" s="3"/>
      <c r="C2325" s="1"/>
      <c r="E2325" s="1"/>
      <c r="J2325" s="3"/>
      <c r="L2325" s="1"/>
    </row>
    <row r="2326" spans="1:12" x14ac:dyDescent="0.3">
      <c r="A2326" s="3"/>
      <c r="C2326" s="1"/>
      <c r="E2326" s="1"/>
      <c r="J2326" s="3"/>
      <c r="L2326" s="1"/>
    </row>
    <row r="2327" spans="1:12" x14ac:dyDescent="0.3">
      <c r="A2327" s="3"/>
      <c r="C2327" s="1"/>
      <c r="E2327" s="1"/>
      <c r="J2327" s="3"/>
      <c r="L2327" s="1"/>
    </row>
    <row r="2328" spans="1:12" x14ac:dyDescent="0.3">
      <c r="A2328" s="3"/>
      <c r="C2328" s="1"/>
      <c r="E2328" s="1"/>
      <c r="J2328" s="3"/>
      <c r="L2328" s="1"/>
    </row>
    <row r="2329" spans="1:12" x14ac:dyDescent="0.3">
      <c r="A2329" s="3"/>
      <c r="C2329" s="1"/>
      <c r="E2329" s="1"/>
      <c r="J2329" s="3"/>
      <c r="L2329" s="1"/>
    </row>
    <row r="2330" spans="1:12" x14ac:dyDescent="0.3">
      <c r="A2330" s="3"/>
      <c r="C2330" s="1"/>
      <c r="E2330" s="1"/>
      <c r="J2330" s="3"/>
      <c r="L2330" s="1"/>
    </row>
    <row r="2331" spans="1:12" x14ac:dyDescent="0.3">
      <c r="A2331" s="3"/>
      <c r="C2331" s="1"/>
      <c r="E2331" s="1"/>
      <c r="J2331" s="3"/>
      <c r="L2331" s="1"/>
    </row>
    <row r="2332" spans="1:12" x14ac:dyDescent="0.3">
      <c r="A2332" s="3"/>
      <c r="C2332" s="1"/>
      <c r="E2332" s="1"/>
      <c r="J2332" s="3"/>
      <c r="L2332" s="1"/>
    </row>
    <row r="2333" spans="1:12" x14ac:dyDescent="0.3">
      <c r="A2333" s="3"/>
      <c r="C2333" s="1"/>
      <c r="E2333" s="1"/>
      <c r="J2333" s="3"/>
      <c r="L2333" s="1"/>
    </row>
    <row r="2334" spans="1:12" x14ac:dyDescent="0.3">
      <c r="A2334" s="3"/>
      <c r="C2334" s="1"/>
      <c r="E2334" s="1"/>
      <c r="J2334" s="3"/>
      <c r="L2334" s="1"/>
    </row>
    <row r="2335" spans="1:12" x14ac:dyDescent="0.3">
      <c r="A2335" s="3"/>
      <c r="C2335" s="1"/>
      <c r="E2335" s="1"/>
      <c r="J2335" s="3"/>
      <c r="L2335" s="1"/>
    </row>
    <row r="2336" spans="1:12" x14ac:dyDescent="0.3">
      <c r="A2336" s="3"/>
      <c r="C2336" s="1"/>
      <c r="E2336" s="1"/>
      <c r="J2336" s="3"/>
      <c r="L2336" s="1"/>
    </row>
    <row r="2337" spans="1:12" x14ac:dyDescent="0.3">
      <c r="A2337" s="3"/>
      <c r="C2337" s="1"/>
      <c r="E2337" s="1"/>
      <c r="J2337" s="3"/>
      <c r="L2337" s="1"/>
    </row>
    <row r="2338" spans="1:12" x14ac:dyDescent="0.3">
      <c r="A2338" s="3"/>
      <c r="C2338" s="1"/>
      <c r="E2338" s="1"/>
      <c r="J2338" s="3"/>
      <c r="L2338" s="1"/>
    </row>
    <row r="2339" spans="1:12" x14ac:dyDescent="0.3">
      <c r="A2339" s="3"/>
      <c r="C2339" s="1"/>
      <c r="E2339" s="1"/>
      <c r="J2339" s="3"/>
      <c r="L2339" s="1"/>
    </row>
    <row r="2340" spans="1:12" x14ac:dyDescent="0.3">
      <c r="A2340" s="3"/>
      <c r="C2340" s="1"/>
      <c r="E2340" s="1"/>
      <c r="J2340" s="3"/>
      <c r="L2340" s="1"/>
    </row>
    <row r="2341" spans="1:12" x14ac:dyDescent="0.3">
      <c r="A2341" s="3"/>
      <c r="C2341" s="1"/>
      <c r="E2341" s="1"/>
      <c r="J2341" s="3"/>
      <c r="L2341" s="1"/>
    </row>
    <row r="2342" spans="1:12" x14ac:dyDescent="0.3">
      <c r="A2342" s="3"/>
      <c r="C2342" s="1"/>
      <c r="E2342" s="1"/>
      <c r="J2342" s="3"/>
      <c r="L2342" s="1"/>
    </row>
    <row r="2343" spans="1:12" x14ac:dyDescent="0.3">
      <c r="A2343" s="3"/>
      <c r="C2343" s="1"/>
      <c r="E2343" s="1"/>
      <c r="J2343" s="3"/>
      <c r="L2343" s="1"/>
    </row>
    <row r="2344" spans="1:12" x14ac:dyDescent="0.3">
      <c r="A2344" s="3"/>
      <c r="C2344" s="1"/>
      <c r="E2344" s="1"/>
      <c r="J2344" s="3"/>
      <c r="L2344" s="1"/>
    </row>
    <row r="2345" spans="1:12" x14ac:dyDescent="0.3">
      <c r="A2345" s="3"/>
      <c r="C2345" s="1"/>
      <c r="E2345" s="1"/>
      <c r="J2345" s="3"/>
      <c r="L2345" s="1"/>
    </row>
    <row r="2346" spans="1:12" x14ac:dyDescent="0.3">
      <c r="A2346" s="3"/>
      <c r="C2346" s="1"/>
      <c r="E2346" s="1"/>
      <c r="J2346" s="3"/>
      <c r="L2346" s="1"/>
    </row>
    <row r="2347" spans="1:12" x14ac:dyDescent="0.3">
      <c r="A2347" s="3"/>
      <c r="C2347" s="1"/>
      <c r="E2347" s="1"/>
      <c r="J2347" s="3"/>
      <c r="L2347" s="1"/>
    </row>
    <row r="2348" spans="1:12" x14ac:dyDescent="0.3">
      <c r="A2348" s="3"/>
      <c r="C2348" s="1"/>
      <c r="E2348" s="1"/>
      <c r="J2348" s="3"/>
      <c r="L2348" s="1"/>
    </row>
    <row r="2349" spans="1:12" x14ac:dyDescent="0.3">
      <c r="A2349" s="3"/>
      <c r="C2349" s="1"/>
      <c r="E2349" s="1"/>
      <c r="J2349" s="3"/>
      <c r="L2349" s="1"/>
    </row>
    <row r="2350" spans="1:12" x14ac:dyDescent="0.3">
      <c r="A2350" s="3"/>
      <c r="C2350" s="1"/>
      <c r="E2350" s="1"/>
      <c r="J2350" s="3"/>
      <c r="L2350" s="1"/>
    </row>
    <row r="2351" spans="1:12" x14ac:dyDescent="0.3">
      <c r="A2351" s="3"/>
      <c r="C2351" s="1"/>
      <c r="E2351" s="1"/>
      <c r="J2351" s="3"/>
      <c r="L2351" s="1"/>
    </row>
    <row r="2352" spans="1:12" x14ac:dyDescent="0.3">
      <c r="A2352" s="3"/>
      <c r="C2352" s="1"/>
      <c r="E2352" s="1"/>
      <c r="J2352" s="3"/>
      <c r="L2352" s="1"/>
    </row>
    <row r="2353" spans="1:12" x14ac:dyDescent="0.3">
      <c r="A2353" s="3"/>
      <c r="C2353" s="1"/>
      <c r="E2353" s="1"/>
      <c r="J2353" s="3"/>
      <c r="L2353" s="1"/>
    </row>
    <row r="2354" spans="1:12" x14ac:dyDescent="0.3">
      <c r="A2354" s="3"/>
      <c r="C2354" s="1"/>
      <c r="E2354" s="1"/>
      <c r="J2354" s="3"/>
      <c r="L2354" s="1"/>
    </row>
    <row r="2355" spans="1:12" x14ac:dyDescent="0.3">
      <c r="A2355" s="3"/>
      <c r="C2355" s="1"/>
      <c r="E2355" s="1"/>
      <c r="J2355" s="3"/>
      <c r="L2355" s="1"/>
    </row>
    <row r="2356" spans="1:12" x14ac:dyDescent="0.3">
      <c r="A2356" s="3"/>
      <c r="C2356" s="1"/>
      <c r="E2356" s="1"/>
      <c r="J2356" s="3"/>
      <c r="L2356" s="1"/>
    </row>
    <row r="2357" spans="1:12" x14ac:dyDescent="0.3">
      <c r="A2357" s="3"/>
      <c r="C2357" s="1"/>
      <c r="E2357" s="1"/>
      <c r="J2357" s="3"/>
      <c r="L2357" s="1"/>
    </row>
    <row r="2358" spans="1:12" x14ac:dyDescent="0.3">
      <c r="A2358" s="3"/>
      <c r="C2358" s="1"/>
      <c r="E2358" s="1"/>
      <c r="J2358" s="3"/>
      <c r="L2358" s="1"/>
    </row>
    <row r="2359" spans="1:12" x14ac:dyDescent="0.3">
      <c r="A2359" s="3"/>
      <c r="C2359" s="1"/>
      <c r="E2359" s="1"/>
      <c r="J2359" s="3"/>
      <c r="L2359" s="1"/>
    </row>
    <row r="2360" spans="1:12" x14ac:dyDescent="0.3">
      <c r="A2360" s="3"/>
      <c r="C2360" s="1"/>
      <c r="E2360" s="1"/>
      <c r="J2360" s="3"/>
      <c r="L2360" s="1"/>
    </row>
    <row r="2361" spans="1:12" x14ac:dyDescent="0.3">
      <c r="A2361" s="3"/>
      <c r="C2361" s="1"/>
      <c r="E2361" s="1"/>
      <c r="J2361" s="3"/>
      <c r="L2361" s="1"/>
    </row>
    <row r="2362" spans="1:12" x14ac:dyDescent="0.3">
      <c r="A2362" s="3"/>
      <c r="C2362" s="1"/>
      <c r="E2362" s="1"/>
      <c r="J2362" s="3"/>
      <c r="L2362" s="1"/>
    </row>
    <row r="2363" spans="1:12" x14ac:dyDescent="0.3">
      <c r="A2363" s="3"/>
      <c r="C2363" s="1"/>
      <c r="E2363" s="1"/>
      <c r="J2363" s="3"/>
      <c r="L2363" s="1"/>
    </row>
    <row r="2364" spans="1:12" x14ac:dyDescent="0.3">
      <c r="A2364" s="3"/>
      <c r="C2364" s="1"/>
      <c r="E2364" s="1"/>
      <c r="J2364" s="3"/>
      <c r="L2364" s="1"/>
    </row>
    <row r="2365" spans="1:12" x14ac:dyDescent="0.3">
      <c r="A2365" s="3"/>
      <c r="C2365" s="1"/>
      <c r="E2365" s="1"/>
      <c r="J2365" s="3"/>
      <c r="L2365" s="1"/>
    </row>
    <row r="2366" spans="1:12" x14ac:dyDescent="0.3">
      <c r="A2366" s="3"/>
      <c r="C2366" s="1"/>
      <c r="E2366" s="1"/>
      <c r="J2366" s="3"/>
      <c r="L2366" s="1"/>
    </row>
    <row r="2367" spans="1:12" x14ac:dyDescent="0.3">
      <c r="A2367" s="3"/>
      <c r="C2367" s="1"/>
      <c r="E2367" s="1"/>
      <c r="J2367" s="3"/>
      <c r="L2367" s="1"/>
    </row>
    <row r="2368" spans="1:12" x14ac:dyDescent="0.3">
      <c r="A2368" s="3"/>
      <c r="C2368" s="1"/>
      <c r="E2368" s="1"/>
      <c r="J2368" s="3"/>
      <c r="L2368" s="1"/>
    </row>
    <row r="2369" spans="1:12" x14ac:dyDescent="0.3">
      <c r="A2369" s="3"/>
      <c r="C2369" s="1"/>
      <c r="E2369" s="1"/>
      <c r="J2369" s="3"/>
      <c r="L2369" s="1"/>
    </row>
    <row r="2370" spans="1:12" x14ac:dyDescent="0.3">
      <c r="A2370" s="3"/>
      <c r="C2370" s="1"/>
      <c r="E2370" s="1"/>
      <c r="J2370" s="3"/>
      <c r="L2370" s="1"/>
    </row>
    <row r="2371" spans="1:12" x14ac:dyDescent="0.3">
      <c r="A2371" s="3"/>
      <c r="C2371" s="1"/>
      <c r="E2371" s="1"/>
      <c r="J2371" s="3"/>
      <c r="L2371" s="1"/>
    </row>
    <row r="2372" spans="1:12" x14ac:dyDescent="0.3">
      <c r="A2372" s="3"/>
      <c r="C2372" s="1"/>
      <c r="E2372" s="1"/>
      <c r="J2372" s="3"/>
      <c r="L2372" s="1"/>
    </row>
    <row r="2373" spans="1:12" x14ac:dyDescent="0.3">
      <c r="A2373" s="3"/>
      <c r="C2373" s="1"/>
      <c r="E2373" s="1"/>
      <c r="J2373" s="3"/>
      <c r="L2373" s="1"/>
    </row>
    <row r="2374" spans="1:12" x14ac:dyDescent="0.3">
      <c r="A2374" s="3"/>
      <c r="C2374" s="1"/>
      <c r="E2374" s="1"/>
      <c r="J2374" s="3"/>
      <c r="L2374" s="1"/>
    </row>
    <row r="2375" spans="1:12" x14ac:dyDescent="0.3">
      <c r="A2375" s="3"/>
      <c r="C2375" s="1"/>
      <c r="E2375" s="1"/>
      <c r="J2375" s="3"/>
      <c r="L2375" s="1"/>
    </row>
    <row r="2376" spans="1:12" x14ac:dyDescent="0.3">
      <c r="A2376" s="3"/>
      <c r="C2376" s="1"/>
      <c r="E2376" s="1"/>
      <c r="J2376" s="3"/>
      <c r="L2376" s="1"/>
    </row>
    <row r="2377" spans="1:12" x14ac:dyDescent="0.3">
      <c r="A2377" s="3"/>
      <c r="C2377" s="1"/>
      <c r="E2377" s="1"/>
      <c r="J2377" s="3"/>
      <c r="L2377" s="1"/>
    </row>
    <row r="2378" spans="1:12" x14ac:dyDescent="0.3">
      <c r="A2378" s="3"/>
      <c r="C2378" s="1"/>
      <c r="E2378" s="1"/>
      <c r="J2378" s="3"/>
      <c r="L2378" s="1"/>
    </row>
    <row r="2379" spans="1:12" x14ac:dyDescent="0.3">
      <c r="A2379" s="3"/>
      <c r="C2379" s="1"/>
      <c r="E2379" s="1"/>
      <c r="J2379" s="3"/>
      <c r="L2379" s="1"/>
    </row>
    <row r="2380" spans="1:12" x14ac:dyDescent="0.3">
      <c r="A2380" s="3"/>
      <c r="C2380" s="1"/>
      <c r="E2380" s="1"/>
      <c r="J2380" s="3"/>
      <c r="L2380" s="1"/>
    </row>
    <row r="2381" spans="1:12" x14ac:dyDescent="0.3">
      <c r="A2381" s="3"/>
      <c r="C2381" s="1"/>
      <c r="E2381" s="1"/>
      <c r="J2381" s="3"/>
      <c r="L2381" s="1"/>
    </row>
    <row r="2382" spans="1:12" x14ac:dyDescent="0.3">
      <c r="A2382" s="3"/>
      <c r="C2382" s="1"/>
      <c r="E2382" s="1"/>
      <c r="J2382" s="3"/>
      <c r="L2382" s="1"/>
    </row>
    <row r="2383" spans="1:12" x14ac:dyDescent="0.3">
      <c r="A2383" s="3"/>
      <c r="C2383" s="1"/>
      <c r="E2383" s="1"/>
      <c r="J2383" s="3"/>
      <c r="L2383" s="1"/>
    </row>
    <row r="2384" spans="1:12" x14ac:dyDescent="0.3">
      <c r="A2384" s="3"/>
      <c r="C2384" s="1"/>
      <c r="E2384" s="1"/>
      <c r="J2384" s="3"/>
      <c r="L2384" s="1"/>
    </row>
    <row r="2385" spans="1:12" x14ac:dyDescent="0.3">
      <c r="A2385" s="3"/>
      <c r="C2385" s="1"/>
      <c r="E2385" s="1"/>
      <c r="J2385" s="3"/>
      <c r="L2385" s="1"/>
    </row>
    <row r="2386" spans="1:12" x14ac:dyDescent="0.3">
      <c r="A2386" s="3"/>
      <c r="C2386" s="1"/>
      <c r="E2386" s="1"/>
      <c r="J2386" s="3"/>
      <c r="L2386" s="1"/>
    </row>
    <row r="2387" spans="1:12" x14ac:dyDescent="0.3">
      <c r="A2387" s="3"/>
      <c r="C2387" s="1"/>
      <c r="E2387" s="1"/>
      <c r="J2387" s="3"/>
      <c r="L2387" s="1"/>
    </row>
    <row r="2388" spans="1:12" x14ac:dyDescent="0.3">
      <c r="A2388" s="3"/>
      <c r="C2388" s="1"/>
      <c r="E2388" s="1"/>
      <c r="J2388" s="3"/>
      <c r="L2388" s="1"/>
    </row>
    <row r="2389" spans="1:12" x14ac:dyDescent="0.3">
      <c r="A2389" s="3"/>
      <c r="C2389" s="1"/>
      <c r="E2389" s="1"/>
      <c r="J2389" s="3"/>
      <c r="L2389" s="1"/>
    </row>
    <row r="2390" spans="1:12" x14ac:dyDescent="0.3">
      <c r="A2390" s="3"/>
      <c r="C2390" s="1"/>
      <c r="E2390" s="1"/>
      <c r="J2390" s="3"/>
      <c r="L2390" s="1"/>
    </row>
    <row r="2391" spans="1:12" x14ac:dyDescent="0.3">
      <c r="A2391" s="3"/>
      <c r="C2391" s="1"/>
      <c r="E2391" s="1"/>
      <c r="J2391" s="3"/>
      <c r="L2391" s="1"/>
    </row>
    <row r="2392" spans="1:12" x14ac:dyDescent="0.3">
      <c r="A2392" s="3"/>
      <c r="C2392" s="1"/>
      <c r="E2392" s="1"/>
      <c r="J2392" s="3"/>
      <c r="L2392" s="1"/>
    </row>
    <row r="2393" spans="1:12" x14ac:dyDescent="0.3">
      <c r="A2393" s="3"/>
      <c r="C2393" s="1"/>
      <c r="E2393" s="1"/>
      <c r="J2393" s="3"/>
      <c r="L2393" s="1"/>
    </row>
    <row r="2394" spans="1:12" x14ac:dyDescent="0.3">
      <c r="A2394" s="3"/>
      <c r="C2394" s="1"/>
      <c r="E2394" s="1"/>
      <c r="J2394" s="3"/>
      <c r="L2394" s="1"/>
    </row>
    <row r="2395" spans="1:12" x14ac:dyDescent="0.3">
      <c r="A2395" s="3"/>
      <c r="C2395" s="1"/>
      <c r="E2395" s="1"/>
      <c r="J2395" s="3"/>
      <c r="L2395" s="1"/>
    </row>
    <row r="2396" spans="1:12" x14ac:dyDescent="0.3">
      <c r="A2396" s="3"/>
      <c r="C2396" s="1"/>
      <c r="E2396" s="1"/>
      <c r="J2396" s="3"/>
      <c r="L2396" s="1"/>
    </row>
    <row r="2397" spans="1:12" x14ac:dyDescent="0.3">
      <c r="A2397" s="3"/>
      <c r="C2397" s="1"/>
      <c r="E2397" s="1"/>
      <c r="J2397" s="3"/>
      <c r="L2397" s="1"/>
    </row>
    <row r="2398" spans="1:12" x14ac:dyDescent="0.3">
      <c r="A2398" s="3"/>
      <c r="C2398" s="1"/>
      <c r="E2398" s="1"/>
      <c r="J2398" s="3"/>
      <c r="L2398" s="1"/>
    </row>
    <row r="2399" spans="1:12" x14ac:dyDescent="0.3">
      <c r="A2399" s="3"/>
      <c r="C2399" s="1"/>
      <c r="E2399" s="1"/>
      <c r="J2399" s="3"/>
      <c r="L2399" s="1"/>
    </row>
    <row r="2400" spans="1:12" x14ac:dyDescent="0.3">
      <c r="A2400" s="3"/>
      <c r="C2400" s="1"/>
      <c r="E2400" s="1"/>
      <c r="J2400" s="3"/>
      <c r="L2400" s="1"/>
    </row>
    <row r="2401" spans="1:12" x14ac:dyDescent="0.3">
      <c r="A2401" s="3"/>
      <c r="C2401" s="1"/>
      <c r="E2401" s="1"/>
      <c r="J2401" s="3"/>
      <c r="L2401" s="1"/>
    </row>
    <row r="2402" spans="1:12" x14ac:dyDescent="0.3">
      <c r="A2402" s="3"/>
      <c r="C2402" s="1"/>
      <c r="E2402" s="1"/>
      <c r="J2402" s="3"/>
      <c r="L2402" s="1"/>
    </row>
    <row r="2403" spans="1:12" x14ac:dyDescent="0.3">
      <c r="A2403" s="3"/>
      <c r="C2403" s="1"/>
      <c r="E2403" s="1"/>
      <c r="J2403" s="3"/>
      <c r="L2403" s="1"/>
    </row>
    <row r="2404" spans="1:12" x14ac:dyDescent="0.3">
      <c r="A2404" s="3"/>
      <c r="C2404" s="1"/>
      <c r="E2404" s="1"/>
      <c r="J2404" s="3"/>
      <c r="L2404" s="1"/>
    </row>
    <row r="2405" spans="1:12" x14ac:dyDescent="0.3">
      <c r="A2405" s="3"/>
      <c r="C2405" s="1"/>
      <c r="E2405" s="1"/>
      <c r="J2405" s="3"/>
      <c r="L2405" s="1"/>
    </row>
    <row r="2406" spans="1:12" x14ac:dyDescent="0.3">
      <c r="A2406" s="3"/>
      <c r="C2406" s="1"/>
      <c r="E2406" s="1"/>
      <c r="J2406" s="3"/>
      <c r="L2406" s="1"/>
    </row>
    <row r="2407" spans="1:12" x14ac:dyDescent="0.3">
      <c r="A2407" s="3"/>
      <c r="C2407" s="1"/>
      <c r="E2407" s="1"/>
      <c r="J2407" s="3"/>
      <c r="L2407" s="1"/>
    </row>
    <row r="2408" spans="1:12" x14ac:dyDescent="0.3">
      <c r="A2408" s="3"/>
      <c r="C2408" s="1"/>
      <c r="E2408" s="1"/>
      <c r="J2408" s="3"/>
      <c r="L2408" s="1"/>
    </row>
    <row r="2409" spans="1:12" x14ac:dyDescent="0.3">
      <c r="A2409" s="3"/>
      <c r="C2409" s="1"/>
      <c r="E2409" s="1"/>
      <c r="J2409" s="3"/>
      <c r="L2409" s="1"/>
    </row>
    <row r="2410" spans="1:12" x14ac:dyDescent="0.3">
      <c r="A2410" s="3"/>
      <c r="C2410" s="1"/>
      <c r="E2410" s="1"/>
      <c r="J2410" s="3"/>
      <c r="L2410" s="1"/>
    </row>
    <row r="2411" spans="1:12" x14ac:dyDescent="0.3">
      <c r="A2411" s="3"/>
      <c r="C2411" s="1"/>
      <c r="E2411" s="1"/>
      <c r="J2411" s="3"/>
      <c r="L2411" s="1"/>
    </row>
    <row r="2412" spans="1:12" x14ac:dyDescent="0.3">
      <c r="A2412" s="3"/>
      <c r="C2412" s="1"/>
      <c r="E2412" s="1"/>
      <c r="J2412" s="3"/>
      <c r="L2412" s="1"/>
    </row>
    <row r="2413" spans="1:12" x14ac:dyDescent="0.3">
      <c r="A2413" s="3"/>
      <c r="C2413" s="1"/>
      <c r="E2413" s="1"/>
      <c r="J2413" s="3"/>
      <c r="L2413" s="1"/>
    </row>
    <row r="2414" spans="1:12" x14ac:dyDescent="0.3">
      <c r="A2414" s="3"/>
      <c r="C2414" s="1"/>
      <c r="E2414" s="1"/>
      <c r="J2414" s="3"/>
      <c r="L2414" s="1"/>
    </row>
    <row r="2415" spans="1:12" x14ac:dyDescent="0.3">
      <c r="A2415" s="3"/>
      <c r="C2415" s="1"/>
      <c r="E2415" s="1"/>
      <c r="J2415" s="3"/>
      <c r="L2415" s="1"/>
    </row>
    <row r="2416" spans="1:12" x14ac:dyDescent="0.3">
      <c r="A2416" s="3"/>
      <c r="C2416" s="1"/>
      <c r="E2416" s="1"/>
      <c r="J2416" s="3"/>
      <c r="L2416" s="1"/>
    </row>
    <row r="2417" spans="1:12" x14ac:dyDescent="0.3">
      <c r="A2417" s="3"/>
      <c r="C2417" s="1"/>
      <c r="E2417" s="1"/>
      <c r="J2417" s="3"/>
      <c r="L2417" s="1"/>
    </row>
    <row r="2418" spans="1:12" x14ac:dyDescent="0.3">
      <c r="A2418" s="3"/>
      <c r="C2418" s="1"/>
      <c r="E2418" s="1"/>
      <c r="J2418" s="3"/>
      <c r="L2418" s="1"/>
    </row>
    <row r="2419" spans="1:12" x14ac:dyDescent="0.3">
      <c r="A2419" s="3"/>
      <c r="C2419" s="1"/>
      <c r="E2419" s="1"/>
      <c r="J2419" s="3"/>
      <c r="L2419" s="1"/>
    </row>
    <row r="2420" spans="1:12" x14ac:dyDescent="0.3">
      <c r="A2420" s="3"/>
      <c r="C2420" s="1"/>
      <c r="E2420" s="1"/>
      <c r="J2420" s="3"/>
      <c r="L2420" s="1"/>
    </row>
    <row r="2421" spans="1:12" x14ac:dyDescent="0.3">
      <c r="A2421" s="3"/>
      <c r="C2421" s="1"/>
      <c r="E2421" s="1"/>
      <c r="J2421" s="3"/>
      <c r="L2421" s="1"/>
    </row>
    <row r="2422" spans="1:12" x14ac:dyDescent="0.3">
      <c r="A2422" s="3"/>
      <c r="C2422" s="1"/>
      <c r="E2422" s="1"/>
      <c r="J2422" s="3"/>
      <c r="L2422" s="1"/>
    </row>
    <row r="2423" spans="1:12" x14ac:dyDescent="0.3">
      <c r="A2423" s="3"/>
      <c r="C2423" s="1"/>
      <c r="E2423" s="1"/>
      <c r="J2423" s="3"/>
      <c r="L2423" s="1"/>
    </row>
    <row r="2424" spans="1:12" x14ac:dyDescent="0.3">
      <c r="A2424" s="3"/>
      <c r="C2424" s="1"/>
      <c r="E2424" s="1"/>
      <c r="J2424" s="3"/>
      <c r="L2424" s="1"/>
    </row>
    <row r="2425" spans="1:12" x14ac:dyDescent="0.3">
      <c r="A2425" s="3"/>
      <c r="C2425" s="1"/>
      <c r="E2425" s="1"/>
      <c r="J2425" s="3"/>
      <c r="L2425" s="1"/>
    </row>
    <row r="2426" spans="1:12" x14ac:dyDescent="0.3">
      <c r="A2426" s="3"/>
      <c r="C2426" s="1"/>
      <c r="E2426" s="1"/>
      <c r="J2426" s="3"/>
      <c r="L2426" s="1"/>
    </row>
    <row r="2427" spans="1:12" x14ac:dyDescent="0.3">
      <c r="A2427" s="3"/>
      <c r="C2427" s="1"/>
      <c r="E2427" s="1"/>
      <c r="J2427" s="3"/>
      <c r="L2427" s="1"/>
    </row>
    <row r="2428" spans="1:12" x14ac:dyDescent="0.3">
      <c r="A2428" s="3"/>
      <c r="C2428" s="1"/>
      <c r="E2428" s="1"/>
      <c r="J2428" s="3"/>
      <c r="L2428" s="1"/>
    </row>
    <row r="2429" spans="1:12" x14ac:dyDescent="0.3">
      <c r="A2429" s="3"/>
      <c r="C2429" s="1"/>
      <c r="E2429" s="1"/>
      <c r="J2429" s="3"/>
      <c r="L2429" s="1"/>
    </row>
    <row r="2430" spans="1:12" x14ac:dyDescent="0.3">
      <c r="A2430" s="3"/>
      <c r="C2430" s="1"/>
      <c r="E2430" s="1"/>
      <c r="J2430" s="3"/>
      <c r="L2430" s="1"/>
    </row>
    <row r="2431" spans="1:12" x14ac:dyDescent="0.3">
      <c r="A2431" s="3"/>
      <c r="C2431" s="1"/>
      <c r="E2431" s="1"/>
      <c r="J2431" s="3"/>
      <c r="L2431" s="1"/>
    </row>
    <row r="2432" spans="1:12" x14ac:dyDescent="0.3">
      <c r="A2432" s="3"/>
      <c r="C2432" s="1"/>
      <c r="E2432" s="1"/>
      <c r="J2432" s="3"/>
      <c r="L2432" s="1"/>
    </row>
    <row r="2433" spans="1:12" x14ac:dyDescent="0.3">
      <c r="A2433" s="3"/>
      <c r="C2433" s="1"/>
      <c r="E2433" s="1"/>
      <c r="J2433" s="3"/>
      <c r="L2433" s="1"/>
    </row>
    <row r="2434" spans="1:12" x14ac:dyDescent="0.3">
      <c r="A2434" s="3"/>
      <c r="C2434" s="1"/>
      <c r="E2434" s="1"/>
      <c r="J2434" s="3"/>
      <c r="L2434" s="1"/>
    </row>
    <row r="2435" spans="1:12" x14ac:dyDescent="0.3">
      <c r="A2435" s="3"/>
      <c r="C2435" s="1"/>
      <c r="E2435" s="1"/>
      <c r="J2435" s="3"/>
      <c r="L2435" s="1"/>
    </row>
    <row r="2436" spans="1:12" x14ac:dyDescent="0.3">
      <c r="A2436" s="3"/>
      <c r="C2436" s="1"/>
      <c r="E2436" s="1"/>
      <c r="J2436" s="3"/>
      <c r="L2436" s="1"/>
    </row>
    <row r="2437" spans="1:12" x14ac:dyDescent="0.3">
      <c r="A2437" s="3"/>
      <c r="C2437" s="1"/>
      <c r="E2437" s="1"/>
      <c r="J2437" s="3"/>
      <c r="L2437" s="1"/>
    </row>
    <row r="2438" spans="1:12" x14ac:dyDescent="0.3">
      <c r="A2438" s="3"/>
      <c r="C2438" s="1"/>
      <c r="E2438" s="1"/>
      <c r="J2438" s="3"/>
      <c r="L2438" s="1"/>
    </row>
    <row r="2439" spans="1:12" x14ac:dyDescent="0.3">
      <c r="A2439" s="3"/>
      <c r="C2439" s="1"/>
      <c r="E2439" s="1"/>
      <c r="J2439" s="3"/>
      <c r="L2439" s="1"/>
    </row>
    <row r="2440" spans="1:12" x14ac:dyDescent="0.3">
      <c r="A2440" s="3"/>
      <c r="C2440" s="1"/>
      <c r="E2440" s="1"/>
      <c r="J2440" s="3"/>
      <c r="L2440" s="1"/>
    </row>
    <row r="2441" spans="1:12" x14ac:dyDescent="0.3">
      <c r="A2441" s="3"/>
      <c r="C2441" s="1"/>
      <c r="E2441" s="1"/>
      <c r="J2441" s="3"/>
      <c r="L2441" s="1"/>
    </row>
    <row r="2442" spans="1:12" x14ac:dyDescent="0.3">
      <c r="A2442" s="3"/>
      <c r="C2442" s="1"/>
      <c r="E2442" s="1"/>
      <c r="J2442" s="3"/>
      <c r="L2442" s="1"/>
    </row>
    <row r="2443" spans="1:12" x14ac:dyDescent="0.3">
      <c r="A2443" s="3"/>
      <c r="C2443" s="1"/>
      <c r="E2443" s="1"/>
      <c r="J2443" s="3"/>
      <c r="L2443" s="1"/>
    </row>
    <row r="2444" spans="1:12" x14ac:dyDescent="0.3">
      <c r="A2444" s="3"/>
      <c r="C2444" s="1"/>
      <c r="E2444" s="1"/>
      <c r="J2444" s="3"/>
      <c r="L2444" s="1"/>
    </row>
    <row r="2445" spans="1:12" x14ac:dyDescent="0.3">
      <c r="A2445" s="3"/>
      <c r="C2445" s="1"/>
      <c r="E2445" s="1"/>
      <c r="J2445" s="3"/>
      <c r="L2445" s="1"/>
    </row>
    <row r="2446" spans="1:12" x14ac:dyDescent="0.3">
      <c r="A2446" s="3"/>
      <c r="C2446" s="1"/>
      <c r="E2446" s="1"/>
      <c r="J2446" s="3"/>
      <c r="L2446" s="1"/>
    </row>
    <row r="2447" spans="1:12" x14ac:dyDescent="0.3">
      <c r="A2447" s="3"/>
      <c r="C2447" s="1"/>
      <c r="E2447" s="1"/>
      <c r="J2447" s="3"/>
      <c r="L2447" s="1"/>
    </row>
    <row r="2448" spans="1:12" x14ac:dyDescent="0.3">
      <c r="A2448" s="3"/>
      <c r="C2448" s="1"/>
      <c r="E2448" s="1"/>
      <c r="J2448" s="3"/>
      <c r="L2448" s="1"/>
    </row>
    <row r="2449" spans="1:12" x14ac:dyDescent="0.3">
      <c r="A2449" s="3"/>
      <c r="C2449" s="1"/>
      <c r="E2449" s="1"/>
      <c r="J2449" s="3"/>
      <c r="L2449" s="1"/>
    </row>
    <row r="2450" spans="1:12" x14ac:dyDescent="0.3">
      <c r="A2450" s="3"/>
      <c r="C2450" s="1"/>
      <c r="E2450" s="1"/>
      <c r="J2450" s="3"/>
      <c r="L2450" s="1"/>
    </row>
    <row r="2451" spans="1:12" x14ac:dyDescent="0.3">
      <c r="A2451" s="3"/>
      <c r="C2451" s="1"/>
      <c r="E2451" s="1"/>
      <c r="J2451" s="3"/>
      <c r="L2451" s="1"/>
    </row>
    <row r="2452" spans="1:12" x14ac:dyDescent="0.3">
      <c r="A2452" s="3"/>
      <c r="C2452" s="1"/>
      <c r="E2452" s="1"/>
      <c r="J2452" s="3"/>
      <c r="L2452" s="1"/>
    </row>
    <row r="2453" spans="1:12" x14ac:dyDescent="0.3">
      <c r="A2453" s="3"/>
      <c r="C2453" s="1"/>
      <c r="E2453" s="1"/>
      <c r="J2453" s="3"/>
      <c r="L2453" s="1"/>
    </row>
    <row r="2454" spans="1:12" x14ac:dyDescent="0.3">
      <c r="A2454" s="3"/>
      <c r="C2454" s="1"/>
      <c r="E2454" s="1"/>
      <c r="J2454" s="3"/>
      <c r="L2454" s="1"/>
    </row>
    <row r="2455" spans="1:12" x14ac:dyDescent="0.3">
      <c r="A2455" s="3"/>
      <c r="C2455" s="1"/>
      <c r="E2455" s="1"/>
      <c r="J2455" s="3"/>
      <c r="L2455" s="1"/>
    </row>
    <row r="2456" spans="1:12" x14ac:dyDescent="0.3">
      <c r="A2456" s="3"/>
      <c r="C2456" s="1"/>
      <c r="E2456" s="1"/>
      <c r="J2456" s="3"/>
      <c r="L2456" s="1"/>
    </row>
    <row r="2457" spans="1:12" x14ac:dyDescent="0.3">
      <c r="A2457" s="3"/>
      <c r="C2457" s="1"/>
      <c r="E2457" s="1"/>
      <c r="J2457" s="3"/>
      <c r="L2457" s="1"/>
    </row>
    <row r="2458" spans="1:12" x14ac:dyDescent="0.3">
      <c r="A2458" s="3"/>
      <c r="C2458" s="1"/>
      <c r="E2458" s="1"/>
      <c r="J2458" s="3"/>
      <c r="L2458" s="1"/>
    </row>
    <row r="2459" spans="1:12" x14ac:dyDescent="0.3">
      <c r="A2459" s="3"/>
      <c r="C2459" s="1"/>
      <c r="E2459" s="1"/>
      <c r="J2459" s="3"/>
      <c r="L2459" s="1"/>
    </row>
    <row r="2460" spans="1:12" x14ac:dyDescent="0.3">
      <c r="A2460" s="3"/>
      <c r="C2460" s="1"/>
      <c r="E2460" s="1"/>
      <c r="J2460" s="3"/>
      <c r="L2460" s="1"/>
    </row>
    <row r="2461" spans="1:12" x14ac:dyDescent="0.3">
      <c r="A2461" s="3"/>
      <c r="C2461" s="1"/>
      <c r="E2461" s="1"/>
      <c r="J2461" s="3"/>
      <c r="L2461" s="1"/>
    </row>
    <row r="2462" spans="1:12" x14ac:dyDescent="0.3">
      <c r="A2462" s="3"/>
      <c r="C2462" s="1"/>
      <c r="E2462" s="1"/>
      <c r="J2462" s="3"/>
      <c r="L2462" s="1"/>
    </row>
    <row r="2463" spans="1:12" x14ac:dyDescent="0.3">
      <c r="A2463" s="3"/>
      <c r="C2463" s="1"/>
      <c r="E2463" s="1"/>
      <c r="J2463" s="3"/>
      <c r="L2463" s="1"/>
    </row>
    <row r="2464" spans="1:12" x14ac:dyDescent="0.3">
      <c r="A2464" s="3"/>
      <c r="C2464" s="1"/>
      <c r="E2464" s="1"/>
      <c r="J2464" s="3"/>
      <c r="L2464" s="1"/>
    </row>
    <row r="2465" spans="1:12" x14ac:dyDescent="0.3">
      <c r="A2465" s="3"/>
      <c r="C2465" s="1"/>
      <c r="E2465" s="1"/>
      <c r="J2465" s="3"/>
      <c r="L2465" s="1"/>
    </row>
    <row r="2466" spans="1:12" x14ac:dyDescent="0.3">
      <c r="A2466" s="3"/>
      <c r="C2466" s="1"/>
      <c r="E2466" s="1"/>
      <c r="J2466" s="3"/>
      <c r="L2466" s="1"/>
    </row>
    <row r="2467" spans="1:12" x14ac:dyDescent="0.3">
      <c r="A2467" s="3"/>
      <c r="C2467" s="1"/>
      <c r="E2467" s="1"/>
      <c r="J2467" s="3"/>
      <c r="L2467" s="1"/>
    </row>
    <row r="2468" spans="1:12" x14ac:dyDescent="0.3">
      <c r="A2468" s="3"/>
      <c r="C2468" s="1"/>
      <c r="E2468" s="1"/>
      <c r="J2468" s="3"/>
      <c r="L2468" s="1"/>
    </row>
    <row r="2469" spans="1:12" x14ac:dyDescent="0.3">
      <c r="A2469" s="3"/>
      <c r="C2469" s="1"/>
      <c r="E2469" s="1"/>
      <c r="J2469" s="3"/>
      <c r="L2469" s="1"/>
    </row>
    <row r="2470" spans="1:12" x14ac:dyDescent="0.3">
      <c r="A2470" s="3"/>
      <c r="C2470" s="1"/>
      <c r="E2470" s="1"/>
      <c r="J2470" s="3"/>
      <c r="L2470" s="1"/>
    </row>
    <row r="2471" spans="1:12" x14ac:dyDescent="0.3">
      <c r="A2471" s="3"/>
      <c r="C2471" s="1"/>
      <c r="E2471" s="1"/>
      <c r="J2471" s="3"/>
      <c r="L2471" s="1"/>
    </row>
    <row r="2472" spans="1:12" x14ac:dyDescent="0.3">
      <c r="A2472" s="3"/>
      <c r="C2472" s="1"/>
      <c r="E2472" s="1"/>
      <c r="J2472" s="3"/>
      <c r="L2472" s="1"/>
    </row>
    <row r="2473" spans="1:12" x14ac:dyDescent="0.3">
      <c r="A2473" s="3"/>
      <c r="C2473" s="1"/>
      <c r="E2473" s="1"/>
      <c r="J2473" s="3"/>
      <c r="L2473" s="1"/>
    </row>
    <row r="2474" spans="1:12" x14ac:dyDescent="0.3">
      <c r="A2474" s="3"/>
      <c r="C2474" s="1"/>
      <c r="E2474" s="1"/>
      <c r="J2474" s="3"/>
      <c r="L2474" s="1"/>
    </row>
    <row r="2475" spans="1:12" x14ac:dyDescent="0.3">
      <c r="A2475" s="3"/>
      <c r="C2475" s="1"/>
      <c r="E2475" s="1"/>
      <c r="J2475" s="3"/>
      <c r="L2475" s="1"/>
    </row>
    <row r="2476" spans="1:12" x14ac:dyDescent="0.3">
      <c r="A2476" s="3"/>
      <c r="C2476" s="1"/>
      <c r="E2476" s="1"/>
      <c r="J2476" s="3"/>
      <c r="L2476" s="1"/>
    </row>
    <row r="2477" spans="1:12" x14ac:dyDescent="0.3">
      <c r="A2477" s="3"/>
      <c r="C2477" s="1"/>
      <c r="E2477" s="1"/>
      <c r="J2477" s="3"/>
      <c r="L2477" s="1"/>
    </row>
    <row r="2478" spans="1:12" x14ac:dyDescent="0.3">
      <c r="A2478" s="3"/>
      <c r="C2478" s="1"/>
      <c r="E2478" s="1"/>
      <c r="J2478" s="3"/>
      <c r="L2478" s="1"/>
    </row>
    <row r="2479" spans="1:12" x14ac:dyDescent="0.3">
      <c r="A2479" s="3"/>
      <c r="C2479" s="1"/>
      <c r="E2479" s="1"/>
      <c r="J2479" s="3"/>
      <c r="L2479" s="1"/>
    </row>
    <row r="2480" spans="1:12" x14ac:dyDescent="0.3">
      <c r="A2480" s="3"/>
      <c r="C2480" s="1"/>
      <c r="E2480" s="1"/>
      <c r="J2480" s="3"/>
      <c r="L2480" s="1"/>
    </row>
    <row r="2481" spans="1:12" x14ac:dyDescent="0.3">
      <c r="A2481" s="3"/>
      <c r="C2481" s="1"/>
      <c r="E2481" s="1"/>
      <c r="J2481" s="3"/>
      <c r="L2481" s="1"/>
    </row>
    <row r="2482" spans="1:12" x14ac:dyDescent="0.3">
      <c r="A2482" s="3"/>
      <c r="C2482" s="1"/>
      <c r="E2482" s="1"/>
      <c r="J2482" s="3"/>
      <c r="L2482" s="1"/>
    </row>
    <row r="2483" spans="1:12" x14ac:dyDescent="0.3">
      <c r="A2483" s="3"/>
      <c r="C2483" s="1"/>
      <c r="E2483" s="1"/>
      <c r="J2483" s="3"/>
      <c r="L2483" s="1"/>
    </row>
    <row r="2484" spans="1:12" x14ac:dyDescent="0.3">
      <c r="A2484" s="3"/>
      <c r="C2484" s="1"/>
      <c r="E2484" s="1"/>
      <c r="J2484" s="3"/>
      <c r="L2484" s="1"/>
    </row>
    <row r="2485" spans="1:12" x14ac:dyDescent="0.3">
      <c r="A2485" s="3"/>
      <c r="C2485" s="1"/>
      <c r="E2485" s="1"/>
      <c r="J2485" s="3"/>
      <c r="L2485" s="1"/>
    </row>
    <row r="2486" spans="1:12" x14ac:dyDescent="0.3">
      <c r="A2486" s="3"/>
      <c r="C2486" s="1"/>
      <c r="E2486" s="1"/>
      <c r="J2486" s="3"/>
      <c r="L2486" s="1"/>
    </row>
    <row r="2487" spans="1:12" x14ac:dyDescent="0.3">
      <c r="A2487" s="3"/>
      <c r="C2487" s="1"/>
      <c r="E2487" s="1"/>
      <c r="J2487" s="3"/>
      <c r="L2487" s="1"/>
    </row>
    <row r="2488" spans="1:12" x14ac:dyDescent="0.3">
      <c r="A2488" s="3"/>
      <c r="C2488" s="1"/>
      <c r="E2488" s="1"/>
      <c r="J2488" s="3"/>
      <c r="L2488" s="1"/>
    </row>
    <row r="2489" spans="1:12" x14ac:dyDescent="0.3">
      <c r="A2489" s="3"/>
      <c r="C2489" s="1"/>
      <c r="E2489" s="1"/>
      <c r="J2489" s="3"/>
      <c r="L2489" s="1"/>
    </row>
    <row r="2490" spans="1:12" x14ac:dyDescent="0.3">
      <c r="A2490" s="3"/>
      <c r="C2490" s="1"/>
      <c r="E2490" s="1"/>
      <c r="J2490" s="3"/>
      <c r="L2490" s="1"/>
    </row>
    <row r="2491" spans="1:12" x14ac:dyDescent="0.3">
      <c r="A2491" s="3"/>
      <c r="C2491" s="1"/>
      <c r="E2491" s="1"/>
      <c r="J2491" s="3"/>
      <c r="L2491" s="1"/>
    </row>
    <row r="2492" spans="1:12" x14ac:dyDescent="0.3">
      <c r="A2492" s="3"/>
      <c r="C2492" s="1"/>
      <c r="E2492" s="1"/>
      <c r="J2492" s="3"/>
      <c r="L2492" s="1"/>
    </row>
    <row r="2493" spans="1:12" x14ac:dyDescent="0.3">
      <c r="A2493" s="3"/>
      <c r="C2493" s="1"/>
      <c r="E2493" s="1"/>
      <c r="J2493" s="3"/>
      <c r="L2493" s="1"/>
    </row>
    <row r="2494" spans="1:12" x14ac:dyDescent="0.3">
      <c r="A2494" s="3"/>
      <c r="C2494" s="1"/>
      <c r="E2494" s="1"/>
      <c r="J2494" s="3"/>
      <c r="L2494" s="1"/>
    </row>
    <row r="2495" spans="1:12" x14ac:dyDescent="0.3">
      <c r="A2495" s="3"/>
      <c r="C2495" s="1"/>
      <c r="E2495" s="1"/>
      <c r="J2495" s="3"/>
      <c r="L2495" s="1"/>
    </row>
    <row r="2496" spans="1:12" x14ac:dyDescent="0.3">
      <c r="A2496" s="3"/>
      <c r="C2496" s="1"/>
      <c r="E2496" s="1"/>
      <c r="J2496" s="3"/>
      <c r="L2496" s="1"/>
    </row>
    <row r="2497" spans="1:12" x14ac:dyDescent="0.3">
      <c r="A2497" s="3"/>
      <c r="C2497" s="1"/>
      <c r="E2497" s="1"/>
      <c r="J2497" s="3"/>
      <c r="L2497" s="1"/>
    </row>
    <row r="2498" spans="1:12" x14ac:dyDescent="0.3">
      <c r="A2498" s="3"/>
      <c r="C2498" s="1"/>
      <c r="E2498" s="1"/>
      <c r="J2498" s="3"/>
      <c r="L2498" s="1"/>
    </row>
    <row r="2499" spans="1:12" x14ac:dyDescent="0.3">
      <c r="A2499" s="3"/>
      <c r="C2499" s="1"/>
      <c r="E2499" s="1"/>
      <c r="J2499" s="3"/>
      <c r="L2499" s="1"/>
    </row>
    <row r="2500" spans="1:12" x14ac:dyDescent="0.3">
      <c r="A2500" s="3"/>
      <c r="C2500" s="1"/>
      <c r="E2500" s="1"/>
      <c r="J2500" s="3"/>
      <c r="L2500" s="1"/>
    </row>
    <row r="2501" spans="1:12" x14ac:dyDescent="0.3">
      <c r="A2501" s="3"/>
      <c r="C2501" s="1"/>
      <c r="E2501" s="1"/>
      <c r="J2501" s="3"/>
      <c r="L2501" s="1"/>
    </row>
    <row r="2502" spans="1:12" x14ac:dyDescent="0.3">
      <c r="A2502" s="3"/>
      <c r="C2502" s="1"/>
      <c r="E2502" s="1"/>
      <c r="J2502" s="3"/>
      <c r="L2502" s="1"/>
    </row>
    <row r="2503" spans="1:12" x14ac:dyDescent="0.3">
      <c r="A2503" s="3"/>
      <c r="C2503" s="1"/>
      <c r="E2503" s="1"/>
      <c r="J2503" s="3"/>
      <c r="L2503" s="1"/>
    </row>
    <row r="2504" spans="1:12" x14ac:dyDescent="0.3">
      <c r="A2504" s="3"/>
      <c r="C2504" s="1"/>
      <c r="E2504" s="1"/>
      <c r="J2504" s="3"/>
      <c r="L2504" s="1"/>
    </row>
    <row r="2505" spans="1:12" x14ac:dyDescent="0.3">
      <c r="A2505" s="3"/>
      <c r="C2505" s="1"/>
      <c r="E2505" s="1"/>
      <c r="J2505" s="3"/>
      <c r="L2505" s="1"/>
    </row>
    <row r="2506" spans="1:12" x14ac:dyDescent="0.3">
      <c r="A2506" s="3"/>
      <c r="C2506" s="1"/>
      <c r="E2506" s="1"/>
      <c r="J2506" s="3"/>
      <c r="L2506" s="1"/>
    </row>
    <row r="2507" spans="1:12" x14ac:dyDescent="0.3">
      <c r="A2507" s="3"/>
      <c r="C2507" s="1"/>
      <c r="E2507" s="1"/>
      <c r="J2507" s="3"/>
      <c r="L2507" s="1"/>
    </row>
    <row r="2508" spans="1:12" x14ac:dyDescent="0.3">
      <c r="A2508" s="3"/>
      <c r="C2508" s="1"/>
      <c r="E2508" s="1"/>
      <c r="J2508" s="3"/>
      <c r="L2508" s="1"/>
    </row>
    <row r="2509" spans="1:12" x14ac:dyDescent="0.3">
      <c r="A2509" s="3"/>
      <c r="C2509" s="1"/>
      <c r="E2509" s="1"/>
      <c r="J2509" s="3"/>
      <c r="L2509" s="1"/>
    </row>
    <row r="2510" spans="1:12" x14ac:dyDescent="0.3">
      <c r="A2510" s="3"/>
      <c r="C2510" s="1"/>
      <c r="E2510" s="1"/>
      <c r="J2510" s="3"/>
      <c r="L2510" s="1"/>
    </row>
    <row r="2511" spans="1:12" x14ac:dyDescent="0.3">
      <c r="A2511" s="3"/>
      <c r="C2511" s="1"/>
      <c r="E2511" s="1"/>
      <c r="J2511" s="3"/>
      <c r="L2511" s="1"/>
    </row>
    <row r="2512" spans="1:12" x14ac:dyDescent="0.3">
      <c r="A2512" s="3"/>
      <c r="C2512" s="1"/>
      <c r="E2512" s="1"/>
      <c r="J2512" s="3"/>
      <c r="L2512" s="1"/>
    </row>
    <row r="2513" spans="1:12" x14ac:dyDescent="0.3">
      <c r="A2513" s="3"/>
      <c r="C2513" s="1"/>
      <c r="E2513" s="1"/>
      <c r="J2513" s="3"/>
      <c r="L2513" s="1"/>
    </row>
    <row r="2514" spans="1:12" x14ac:dyDescent="0.3">
      <c r="A2514" s="3"/>
      <c r="C2514" s="1"/>
      <c r="E2514" s="1"/>
      <c r="J2514" s="3"/>
      <c r="L2514" s="1"/>
    </row>
    <row r="2515" spans="1:12" x14ac:dyDescent="0.3">
      <c r="A2515" s="3"/>
      <c r="C2515" s="1"/>
      <c r="E2515" s="1"/>
      <c r="J2515" s="3"/>
      <c r="L2515" s="1"/>
    </row>
    <row r="2516" spans="1:12" x14ac:dyDescent="0.3">
      <c r="A2516" s="3"/>
      <c r="C2516" s="1"/>
      <c r="E2516" s="1"/>
      <c r="J2516" s="3"/>
      <c r="L2516" s="1"/>
    </row>
    <row r="2517" spans="1:12" x14ac:dyDescent="0.3">
      <c r="A2517" s="3"/>
      <c r="C2517" s="1"/>
      <c r="E2517" s="1"/>
      <c r="J2517" s="3"/>
      <c r="L2517" s="1"/>
    </row>
    <row r="2518" spans="1:12" x14ac:dyDescent="0.3">
      <c r="A2518" s="3"/>
      <c r="C2518" s="1"/>
      <c r="E2518" s="1"/>
      <c r="J2518" s="3"/>
      <c r="L2518" s="1"/>
    </row>
    <row r="2519" spans="1:12" x14ac:dyDescent="0.3">
      <c r="A2519" s="3"/>
      <c r="C2519" s="1"/>
      <c r="E2519" s="1"/>
      <c r="J2519" s="3"/>
      <c r="L2519" s="1"/>
    </row>
    <row r="2520" spans="1:12" x14ac:dyDescent="0.3">
      <c r="A2520" s="3"/>
      <c r="C2520" s="1"/>
      <c r="E2520" s="1"/>
      <c r="J2520" s="3"/>
      <c r="L2520" s="1"/>
    </row>
    <row r="2521" spans="1:12" x14ac:dyDescent="0.3">
      <c r="A2521" s="3"/>
      <c r="C2521" s="1"/>
      <c r="E2521" s="1"/>
      <c r="J2521" s="3"/>
      <c r="L2521" s="1"/>
    </row>
    <row r="2522" spans="1:12" x14ac:dyDescent="0.3">
      <c r="A2522" s="3"/>
      <c r="C2522" s="1"/>
      <c r="E2522" s="1"/>
      <c r="J2522" s="3"/>
      <c r="L2522" s="1"/>
    </row>
    <row r="2523" spans="1:12" x14ac:dyDescent="0.3">
      <c r="A2523" s="3"/>
      <c r="C2523" s="1"/>
      <c r="E2523" s="1"/>
      <c r="J2523" s="3"/>
      <c r="L2523" s="1"/>
    </row>
    <row r="2524" spans="1:12" x14ac:dyDescent="0.3">
      <c r="A2524" s="3"/>
      <c r="C2524" s="1"/>
      <c r="E2524" s="1"/>
      <c r="J2524" s="3"/>
      <c r="L2524" s="1"/>
    </row>
    <row r="2525" spans="1:12" x14ac:dyDescent="0.3">
      <c r="A2525" s="3"/>
      <c r="C2525" s="1"/>
      <c r="E2525" s="1"/>
      <c r="J2525" s="3"/>
      <c r="L2525" s="1"/>
    </row>
    <row r="2526" spans="1:12" x14ac:dyDescent="0.3">
      <c r="A2526" s="3"/>
      <c r="C2526" s="1"/>
      <c r="E2526" s="1"/>
      <c r="J2526" s="3"/>
      <c r="L2526" s="1"/>
    </row>
    <row r="2527" spans="1:12" x14ac:dyDescent="0.3">
      <c r="A2527" s="3"/>
      <c r="C2527" s="1"/>
      <c r="E2527" s="1"/>
      <c r="J2527" s="3"/>
      <c r="L2527" s="1"/>
    </row>
    <row r="2528" spans="1:12" x14ac:dyDescent="0.3">
      <c r="A2528" s="3"/>
      <c r="C2528" s="1"/>
      <c r="E2528" s="1"/>
      <c r="J2528" s="3"/>
      <c r="L2528" s="1"/>
    </row>
    <row r="2529" spans="1:12" x14ac:dyDescent="0.3">
      <c r="A2529" s="3"/>
      <c r="C2529" s="1"/>
      <c r="E2529" s="1"/>
      <c r="J2529" s="3"/>
      <c r="L2529" s="1"/>
    </row>
    <row r="2530" spans="1:12" x14ac:dyDescent="0.3">
      <c r="A2530" s="3"/>
      <c r="C2530" s="1"/>
      <c r="E2530" s="1"/>
      <c r="J2530" s="3"/>
      <c r="L2530" s="1"/>
    </row>
    <row r="2531" spans="1:12" x14ac:dyDescent="0.3">
      <c r="A2531" s="3"/>
      <c r="C2531" s="1"/>
      <c r="E2531" s="1"/>
      <c r="J2531" s="3"/>
      <c r="L2531" s="1"/>
    </row>
    <row r="2532" spans="1:12" x14ac:dyDescent="0.3">
      <c r="A2532" s="3"/>
      <c r="C2532" s="1"/>
      <c r="E2532" s="1"/>
      <c r="J2532" s="3"/>
      <c r="L2532" s="1"/>
    </row>
    <row r="2533" spans="1:12" x14ac:dyDescent="0.3">
      <c r="A2533" s="3"/>
      <c r="C2533" s="1"/>
      <c r="E2533" s="1"/>
      <c r="J2533" s="3"/>
      <c r="L2533" s="1"/>
    </row>
    <row r="2534" spans="1:12" x14ac:dyDescent="0.3">
      <c r="A2534" s="3"/>
      <c r="C2534" s="1"/>
      <c r="E2534" s="1"/>
      <c r="J2534" s="3"/>
      <c r="L2534" s="1"/>
    </row>
    <row r="2535" spans="1:12" x14ac:dyDescent="0.3">
      <c r="A2535" s="3"/>
      <c r="C2535" s="1"/>
      <c r="E2535" s="1"/>
      <c r="J2535" s="3"/>
      <c r="L2535" s="1"/>
    </row>
    <row r="2536" spans="1:12" x14ac:dyDescent="0.3">
      <c r="A2536" s="3"/>
      <c r="C2536" s="1"/>
      <c r="E2536" s="1"/>
      <c r="J2536" s="3"/>
      <c r="L2536" s="1"/>
    </row>
    <row r="2537" spans="1:12" x14ac:dyDescent="0.3">
      <c r="A2537" s="3"/>
      <c r="C2537" s="1"/>
      <c r="E2537" s="1"/>
      <c r="J2537" s="3"/>
      <c r="L2537" s="1"/>
    </row>
    <row r="2538" spans="1:12" x14ac:dyDescent="0.3">
      <c r="A2538" s="3"/>
      <c r="C2538" s="1"/>
      <c r="E2538" s="1"/>
      <c r="J2538" s="3"/>
      <c r="L2538" s="1"/>
    </row>
    <row r="2539" spans="1:12" x14ac:dyDescent="0.3">
      <c r="A2539" s="3"/>
      <c r="C2539" s="1"/>
      <c r="E2539" s="1"/>
      <c r="J2539" s="3"/>
      <c r="L2539" s="1"/>
    </row>
    <row r="2540" spans="1:12" x14ac:dyDescent="0.3">
      <c r="A2540" s="3"/>
      <c r="C2540" s="1"/>
      <c r="E2540" s="1"/>
      <c r="J2540" s="3"/>
      <c r="L2540" s="1"/>
    </row>
    <row r="2541" spans="1:12" x14ac:dyDescent="0.3">
      <c r="A2541" s="3"/>
      <c r="C2541" s="1"/>
      <c r="E2541" s="1"/>
      <c r="J2541" s="3"/>
      <c r="L2541" s="1"/>
    </row>
    <row r="2542" spans="1:12" x14ac:dyDescent="0.3">
      <c r="A2542" s="3"/>
      <c r="C2542" s="1"/>
      <c r="E2542" s="1"/>
      <c r="J2542" s="3"/>
      <c r="L2542" s="1"/>
    </row>
    <row r="2543" spans="1:12" x14ac:dyDescent="0.3">
      <c r="A2543" s="3"/>
      <c r="C2543" s="1"/>
      <c r="E2543" s="1"/>
      <c r="J2543" s="3"/>
      <c r="L2543" s="1"/>
    </row>
    <row r="2544" spans="1:12" x14ac:dyDescent="0.3">
      <c r="A2544" s="3"/>
      <c r="C2544" s="1"/>
      <c r="E2544" s="1"/>
      <c r="J2544" s="3"/>
      <c r="L2544" s="1"/>
    </row>
    <row r="2545" spans="1:12" x14ac:dyDescent="0.3">
      <c r="A2545" s="3"/>
      <c r="C2545" s="1"/>
      <c r="E2545" s="1"/>
      <c r="J2545" s="3"/>
      <c r="L2545" s="1"/>
    </row>
    <row r="2546" spans="1:12" x14ac:dyDescent="0.3">
      <c r="A2546" s="3"/>
      <c r="C2546" s="1"/>
      <c r="E2546" s="1"/>
      <c r="J2546" s="3"/>
      <c r="L2546" s="1"/>
    </row>
    <row r="2547" spans="1:12" x14ac:dyDescent="0.3">
      <c r="A2547" s="3"/>
      <c r="C2547" s="1"/>
      <c r="E2547" s="1"/>
      <c r="J2547" s="3"/>
      <c r="L2547" s="1"/>
    </row>
    <row r="2548" spans="1:12" x14ac:dyDescent="0.3">
      <c r="A2548" s="3"/>
      <c r="C2548" s="1"/>
      <c r="E2548" s="1"/>
      <c r="J2548" s="3"/>
      <c r="L2548" s="1"/>
    </row>
    <row r="2549" spans="1:12" x14ac:dyDescent="0.3">
      <c r="A2549" s="3"/>
      <c r="C2549" s="1"/>
      <c r="E2549" s="1"/>
      <c r="J2549" s="3"/>
      <c r="L2549" s="1"/>
    </row>
    <row r="2550" spans="1:12" x14ac:dyDescent="0.3">
      <c r="A2550" s="3"/>
      <c r="C2550" s="1"/>
      <c r="E2550" s="1"/>
      <c r="J2550" s="3"/>
      <c r="L2550" s="1"/>
    </row>
    <row r="2551" spans="1:12" x14ac:dyDescent="0.3">
      <c r="A2551" s="3"/>
      <c r="C2551" s="1"/>
      <c r="E2551" s="1"/>
      <c r="J2551" s="3"/>
      <c r="L2551" s="1"/>
    </row>
    <row r="2552" spans="1:12" x14ac:dyDescent="0.3">
      <c r="A2552" s="3"/>
      <c r="C2552" s="1"/>
      <c r="E2552" s="1"/>
      <c r="J2552" s="3"/>
      <c r="L2552" s="1"/>
    </row>
    <row r="2553" spans="1:12" x14ac:dyDescent="0.3">
      <c r="A2553" s="3"/>
      <c r="C2553" s="1"/>
      <c r="E2553" s="1"/>
      <c r="J2553" s="3"/>
      <c r="L2553" s="1"/>
    </row>
    <row r="2554" spans="1:12" x14ac:dyDescent="0.3">
      <c r="A2554" s="3"/>
      <c r="C2554" s="1"/>
      <c r="E2554" s="1"/>
      <c r="J2554" s="3"/>
      <c r="L2554" s="1"/>
    </row>
    <row r="2555" spans="1:12" x14ac:dyDescent="0.3">
      <c r="A2555" s="3"/>
      <c r="C2555" s="1"/>
      <c r="E2555" s="1"/>
      <c r="J2555" s="3"/>
      <c r="L2555" s="1"/>
    </row>
    <row r="2556" spans="1:12" x14ac:dyDescent="0.3">
      <c r="A2556" s="3"/>
      <c r="C2556" s="1"/>
      <c r="E2556" s="1"/>
      <c r="J2556" s="3"/>
      <c r="L2556" s="1"/>
    </row>
    <row r="2557" spans="1:12" x14ac:dyDescent="0.3">
      <c r="A2557" s="3"/>
      <c r="C2557" s="1"/>
      <c r="E2557" s="1"/>
      <c r="J2557" s="3"/>
      <c r="L2557" s="1"/>
    </row>
    <row r="2558" spans="1:12" x14ac:dyDescent="0.3">
      <c r="A2558" s="3"/>
      <c r="C2558" s="1"/>
      <c r="E2558" s="1"/>
      <c r="J2558" s="3"/>
      <c r="L2558" s="1"/>
    </row>
    <row r="2559" spans="1:12" x14ac:dyDescent="0.3">
      <c r="A2559" s="3"/>
      <c r="C2559" s="1"/>
      <c r="E2559" s="1"/>
      <c r="J2559" s="3"/>
      <c r="L2559" s="1"/>
    </row>
    <row r="2560" spans="1:12" x14ac:dyDescent="0.3">
      <c r="A2560" s="3"/>
      <c r="C2560" s="1"/>
      <c r="E2560" s="1"/>
      <c r="J2560" s="3"/>
      <c r="L2560" s="1"/>
    </row>
    <row r="2561" spans="1:12" x14ac:dyDescent="0.3">
      <c r="A2561" s="3"/>
      <c r="C2561" s="1"/>
      <c r="E2561" s="1"/>
      <c r="J2561" s="3"/>
      <c r="L2561" s="1"/>
    </row>
    <row r="2562" spans="1:12" x14ac:dyDescent="0.3">
      <c r="A2562" s="3"/>
      <c r="C2562" s="1"/>
      <c r="E2562" s="1"/>
      <c r="J2562" s="3"/>
      <c r="L2562" s="1"/>
    </row>
    <row r="2563" spans="1:12" x14ac:dyDescent="0.3">
      <c r="A2563" s="3"/>
      <c r="C2563" s="1"/>
      <c r="E2563" s="1"/>
      <c r="J2563" s="3"/>
      <c r="L2563" s="1"/>
    </row>
    <row r="2564" spans="1:12" x14ac:dyDescent="0.3">
      <c r="A2564" s="3"/>
      <c r="C2564" s="1"/>
      <c r="E2564" s="1"/>
      <c r="J2564" s="3"/>
      <c r="L2564" s="1"/>
    </row>
    <row r="2565" spans="1:12" x14ac:dyDescent="0.3">
      <c r="A2565" s="3"/>
      <c r="C2565" s="1"/>
      <c r="E2565" s="1"/>
      <c r="J2565" s="3"/>
      <c r="L2565" s="1"/>
    </row>
    <row r="2566" spans="1:12" x14ac:dyDescent="0.3">
      <c r="A2566" s="3"/>
      <c r="C2566" s="1"/>
      <c r="E2566" s="1"/>
      <c r="J2566" s="3"/>
      <c r="L2566" s="1"/>
    </row>
    <row r="2567" spans="1:12" x14ac:dyDescent="0.3">
      <c r="A2567" s="3"/>
      <c r="C2567" s="1"/>
      <c r="E2567" s="1"/>
      <c r="J2567" s="3"/>
      <c r="L2567" s="1"/>
    </row>
    <row r="2568" spans="1:12" x14ac:dyDescent="0.3">
      <c r="A2568" s="3"/>
      <c r="C2568" s="1"/>
      <c r="E2568" s="1"/>
      <c r="J2568" s="3"/>
      <c r="L2568" s="1"/>
    </row>
    <row r="2569" spans="1:12" x14ac:dyDescent="0.3">
      <c r="A2569" s="3"/>
      <c r="C2569" s="1"/>
      <c r="E2569" s="1"/>
      <c r="J2569" s="3"/>
      <c r="L2569" s="1"/>
    </row>
    <row r="2570" spans="1:12" x14ac:dyDescent="0.3">
      <c r="A2570" s="3"/>
      <c r="C2570" s="1"/>
      <c r="E2570" s="1"/>
      <c r="J2570" s="3"/>
      <c r="L2570" s="1"/>
    </row>
    <row r="2571" spans="1:12" x14ac:dyDescent="0.3">
      <c r="A2571" s="3"/>
      <c r="C2571" s="1"/>
      <c r="E2571" s="1"/>
      <c r="J2571" s="3"/>
      <c r="L2571" s="1"/>
    </row>
    <row r="2572" spans="1:12" x14ac:dyDescent="0.3">
      <c r="A2572" s="3"/>
      <c r="C2572" s="1"/>
      <c r="E2572" s="1"/>
      <c r="J2572" s="3"/>
      <c r="L2572" s="1"/>
    </row>
    <row r="2573" spans="1:12" x14ac:dyDescent="0.3">
      <c r="A2573" s="3"/>
      <c r="C2573" s="1"/>
      <c r="E2573" s="1"/>
      <c r="J2573" s="3"/>
      <c r="L2573" s="1"/>
    </row>
    <row r="2574" spans="1:12" x14ac:dyDescent="0.3">
      <c r="A2574" s="3"/>
      <c r="C2574" s="1"/>
      <c r="E2574" s="1"/>
      <c r="J2574" s="3"/>
      <c r="L2574" s="1"/>
    </row>
    <row r="2575" spans="1:12" x14ac:dyDescent="0.3">
      <c r="A2575" s="3"/>
      <c r="C2575" s="1"/>
      <c r="E2575" s="1"/>
      <c r="J2575" s="3"/>
      <c r="L2575" s="1"/>
    </row>
    <row r="2576" spans="1:12" x14ac:dyDescent="0.3">
      <c r="A2576" s="3"/>
      <c r="C2576" s="1"/>
      <c r="E2576" s="1"/>
      <c r="J2576" s="3"/>
      <c r="L2576" s="1"/>
    </row>
    <row r="2577" spans="1:12" x14ac:dyDescent="0.3">
      <c r="A2577" s="3"/>
      <c r="C2577" s="1"/>
      <c r="E2577" s="1"/>
      <c r="J2577" s="3"/>
      <c r="L2577" s="1"/>
    </row>
    <row r="2578" spans="1:12" x14ac:dyDescent="0.3">
      <c r="A2578" s="3"/>
      <c r="C2578" s="1"/>
      <c r="E2578" s="1"/>
      <c r="J2578" s="3"/>
      <c r="L2578" s="1"/>
    </row>
    <row r="2579" spans="1:12" x14ac:dyDescent="0.3">
      <c r="A2579" s="3"/>
      <c r="C2579" s="1"/>
      <c r="E2579" s="1"/>
      <c r="J2579" s="3"/>
      <c r="L2579" s="1"/>
    </row>
    <row r="2580" spans="1:12" x14ac:dyDescent="0.3">
      <c r="A2580" s="3"/>
      <c r="C2580" s="1"/>
      <c r="E2580" s="1"/>
      <c r="J2580" s="3"/>
      <c r="L2580" s="1"/>
    </row>
    <row r="2581" spans="1:12" x14ac:dyDescent="0.3">
      <c r="A2581" s="3"/>
      <c r="C2581" s="1"/>
      <c r="E2581" s="1"/>
      <c r="J2581" s="3"/>
      <c r="L2581" s="1"/>
    </row>
    <row r="2582" spans="1:12" x14ac:dyDescent="0.3">
      <c r="A2582" s="3"/>
      <c r="C2582" s="1"/>
      <c r="E2582" s="1"/>
      <c r="J2582" s="3"/>
      <c r="L2582" s="1"/>
    </row>
    <row r="2583" spans="1:12" x14ac:dyDescent="0.3">
      <c r="A2583" s="3"/>
      <c r="C2583" s="1"/>
      <c r="E2583" s="1"/>
      <c r="J2583" s="3"/>
      <c r="L2583" s="1"/>
    </row>
    <row r="2584" spans="1:12" x14ac:dyDescent="0.3">
      <c r="A2584" s="3"/>
      <c r="C2584" s="1"/>
      <c r="E2584" s="1"/>
      <c r="J2584" s="3"/>
      <c r="L2584" s="1"/>
    </row>
    <row r="2585" spans="1:12" x14ac:dyDescent="0.3">
      <c r="A2585" s="3"/>
      <c r="C2585" s="1"/>
      <c r="E2585" s="1"/>
      <c r="J2585" s="3"/>
      <c r="L2585" s="1"/>
    </row>
    <row r="2586" spans="1:12" x14ac:dyDescent="0.3">
      <c r="A2586" s="3"/>
      <c r="C2586" s="1"/>
      <c r="E2586" s="1"/>
      <c r="J2586" s="3"/>
      <c r="L2586" s="1"/>
    </row>
    <row r="2587" spans="1:12" x14ac:dyDescent="0.3">
      <c r="A2587" s="3"/>
      <c r="C2587" s="1"/>
      <c r="E2587" s="1"/>
      <c r="J2587" s="3"/>
      <c r="L2587" s="1"/>
    </row>
    <row r="2588" spans="1:12" x14ac:dyDescent="0.3">
      <c r="A2588" s="3"/>
      <c r="C2588" s="1"/>
      <c r="E2588" s="1"/>
      <c r="J2588" s="3"/>
      <c r="L2588" s="1"/>
    </row>
    <row r="2589" spans="1:12" x14ac:dyDescent="0.3">
      <c r="A2589" s="3"/>
      <c r="C2589" s="1"/>
      <c r="E2589" s="1"/>
      <c r="J2589" s="3"/>
      <c r="L2589" s="1"/>
    </row>
    <row r="2590" spans="1:12" x14ac:dyDescent="0.3">
      <c r="A2590" s="3"/>
      <c r="C2590" s="1"/>
      <c r="E2590" s="1"/>
      <c r="J2590" s="3"/>
      <c r="L2590" s="1"/>
    </row>
    <row r="2591" spans="1:12" x14ac:dyDescent="0.3">
      <c r="A2591" s="3"/>
      <c r="C2591" s="1"/>
      <c r="E2591" s="1"/>
      <c r="J2591" s="3"/>
      <c r="L2591" s="1"/>
    </row>
    <row r="2592" spans="1:12" x14ac:dyDescent="0.3">
      <c r="A2592" s="3"/>
      <c r="C2592" s="1"/>
      <c r="E2592" s="1"/>
      <c r="J2592" s="3"/>
      <c r="L2592" s="1"/>
    </row>
    <row r="2593" spans="1:12" x14ac:dyDescent="0.3">
      <c r="A2593" s="3"/>
      <c r="C2593" s="1"/>
      <c r="E2593" s="1"/>
      <c r="J2593" s="3"/>
      <c r="L2593" s="1"/>
    </row>
    <row r="2594" spans="1:12" x14ac:dyDescent="0.3">
      <c r="A2594" s="3"/>
      <c r="C2594" s="1"/>
      <c r="E2594" s="1"/>
      <c r="J2594" s="3"/>
      <c r="L2594" s="1"/>
    </row>
    <row r="2595" spans="1:12" x14ac:dyDescent="0.3">
      <c r="A2595" s="3"/>
      <c r="C2595" s="1"/>
      <c r="E2595" s="1"/>
      <c r="J2595" s="3"/>
      <c r="L2595" s="1"/>
    </row>
    <row r="2596" spans="1:12" x14ac:dyDescent="0.3">
      <c r="A2596" s="3"/>
      <c r="C2596" s="1"/>
      <c r="E2596" s="1"/>
      <c r="J2596" s="3"/>
      <c r="L2596" s="1"/>
    </row>
    <row r="2597" spans="1:12" x14ac:dyDescent="0.3">
      <c r="A2597" s="3"/>
      <c r="C2597" s="1"/>
      <c r="E2597" s="1"/>
      <c r="J2597" s="3"/>
      <c r="L2597" s="1"/>
    </row>
    <row r="2598" spans="1:12" x14ac:dyDescent="0.3">
      <c r="A2598" s="3"/>
      <c r="C2598" s="1"/>
      <c r="E2598" s="1"/>
      <c r="J2598" s="3"/>
      <c r="L2598" s="1"/>
    </row>
    <row r="2599" spans="1:12" x14ac:dyDescent="0.3">
      <c r="A2599" s="3"/>
      <c r="C2599" s="1"/>
      <c r="E2599" s="1"/>
      <c r="J2599" s="3"/>
      <c r="L2599" s="1"/>
    </row>
    <row r="2600" spans="1:12" x14ac:dyDescent="0.3">
      <c r="A2600" s="3"/>
      <c r="C2600" s="1"/>
      <c r="E2600" s="1"/>
      <c r="J2600" s="3"/>
      <c r="L2600" s="1"/>
    </row>
    <row r="2601" spans="1:12" x14ac:dyDescent="0.3">
      <c r="A2601" s="3"/>
      <c r="C2601" s="1"/>
      <c r="E2601" s="1"/>
      <c r="J2601" s="3"/>
      <c r="L2601" s="1"/>
    </row>
    <row r="2602" spans="1:12" x14ac:dyDescent="0.3">
      <c r="A2602" s="3"/>
      <c r="C2602" s="1"/>
      <c r="E2602" s="1"/>
      <c r="J2602" s="3"/>
      <c r="L2602" s="1"/>
    </row>
    <row r="2603" spans="1:12" x14ac:dyDescent="0.3">
      <c r="A2603" s="3"/>
      <c r="C2603" s="1"/>
      <c r="E2603" s="1"/>
      <c r="J2603" s="3"/>
      <c r="L2603" s="1"/>
    </row>
    <row r="2604" spans="1:12" x14ac:dyDescent="0.3">
      <c r="A2604" s="3"/>
      <c r="C2604" s="1"/>
      <c r="E2604" s="1"/>
      <c r="J2604" s="3"/>
      <c r="L2604" s="1"/>
    </row>
    <row r="2605" spans="1:12" x14ac:dyDescent="0.3">
      <c r="A2605" s="3"/>
      <c r="C2605" s="1"/>
      <c r="E2605" s="1"/>
      <c r="J2605" s="3"/>
      <c r="L2605" s="1"/>
    </row>
    <row r="2606" spans="1:12" x14ac:dyDescent="0.3">
      <c r="A2606" s="3"/>
      <c r="C2606" s="1"/>
      <c r="E2606" s="1"/>
      <c r="J2606" s="3"/>
      <c r="L2606" s="1"/>
    </row>
    <row r="2607" spans="1:12" x14ac:dyDescent="0.3">
      <c r="A2607" s="3"/>
      <c r="C2607" s="1"/>
      <c r="E2607" s="1"/>
      <c r="J2607" s="3"/>
      <c r="L2607" s="1"/>
    </row>
    <row r="2608" spans="1:12" x14ac:dyDescent="0.3">
      <c r="A2608" s="3"/>
      <c r="C2608" s="1"/>
      <c r="E2608" s="1"/>
      <c r="J2608" s="3"/>
      <c r="L2608" s="1"/>
    </row>
    <row r="2609" spans="1:12" x14ac:dyDescent="0.3">
      <c r="A2609" s="3"/>
      <c r="C2609" s="1"/>
      <c r="E2609" s="1"/>
      <c r="J2609" s="3"/>
      <c r="L2609" s="1"/>
    </row>
    <row r="2610" spans="1:12" x14ac:dyDescent="0.3">
      <c r="A2610" s="3"/>
      <c r="C2610" s="1"/>
      <c r="E2610" s="1"/>
      <c r="J2610" s="3"/>
      <c r="L2610" s="1"/>
    </row>
    <row r="2611" spans="1:12" x14ac:dyDescent="0.3">
      <c r="A2611" s="3"/>
      <c r="C2611" s="1"/>
      <c r="E2611" s="1"/>
      <c r="J2611" s="3"/>
      <c r="L2611" s="1"/>
    </row>
    <row r="2612" spans="1:12" x14ac:dyDescent="0.3">
      <c r="A2612" s="3"/>
      <c r="C2612" s="1"/>
      <c r="E2612" s="1"/>
      <c r="J2612" s="3"/>
      <c r="L2612" s="1"/>
    </row>
    <row r="2613" spans="1:12" x14ac:dyDescent="0.3">
      <c r="A2613" s="3"/>
      <c r="C2613" s="1"/>
      <c r="E2613" s="1"/>
      <c r="J2613" s="3"/>
      <c r="L2613" s="1"/>
    </row>
    <row r="2614" spans="1:12" x14ac:dyDescent="0.3">
      <c r="A2614" s="3"/>
      <c r="C2614" s="1"/>
      <c r="E2614" s="1"/>
      <c r="J2614" s="3"/>
      <c r="L2614" s="1"/>
    </row>
    <row r="2615" spans="1:12" x14ac:dyDescent="0.3">
      <c r="A2615" s="3"/>
      <c r="C2615" s="1"/>
      <c r="E2615" s="1"/>
      <c r="J2615" s="3"/>
      <c r="L2615" s="1"/>
    </row>
    <row r="2616" spans="1:12" x14ac:dyDescent="0.3">
      <c r="A2616" s="3"/>
      <c r="C2616" s="1"/>
      <c r="E2616" s="1"/>
      <c r="J2616" s="3"/>
      <c r="L2616" s="1"/>
    </row>
    <row r="2617" spans="1:12" x14ac:dyDescent="0.3">
      <c r="A2617" s="3"/>
      <c r="C2617" s="1"/>
      <c r="E2617" s="1"/>
      <c r="J2617" s="3"/>
      <c r="L2617" s="1"/>
    </row>
    <row r="2618" spans="1:12" x14ac:dyDescent="0.3">
      <c r="A2618" s="3"/>
      <c r="C2618" s="1"/>
      <c r="E2618" s="1"/>
      <c r="J2618" s="3"/>
      <c r="L2618" s="1"/>
    </row>
    <row r="2619" spans="1:12" x14ac:dyDescent="0.3">
      <c r="A2619" s="3"/>
      <c r="C2619" s="1"/>
      <c r="E2619" s="1"/>
      <c r="J2619" s="3"/>
      <c r="L2619" s="1"/>
    </row>
    <row r="2620" spans="1:12" x14ac:dyDescent="0.3">
      <c r="A2620" s="3"/>
      <c r="C2620" s="1"/>
      <c r="E2620" s="1"/>
      <c r="J2620" s="3"/>
      <c r="L2620" s="1"/>
    </row>
    <row r="2621" spans="1:12" x14ac:dyDescent="0.3">
      <c r="A2621" s="3"/>
      <c r="C2621" s="1"/>
      <c r="E2621" s="1"/>
      <c r="J2621" s="3"/>
      <c r="L2621" s="1"/>
    </row>
    <row r="2622" spans="1:12" x14ac:dyDescent="0.3">
      <c r="A2622" s="3"/>
      <c r="C2622" s="1"/>
      <c r="E2622" s="1"/>
      <c r="J2622" s="3"/>
      <c r="L2622" s="1"/>
    </row>
    <row r="2623" spans="1:12" x14ac:dyDescent="0.3">
      <c r="A2623" s="3"/>
      <c r="C2623" s="1"/>
      <c r="E2623" s="1"/>
      <c r="J2623" s="3"/>
      <c r="L2623" s="1"/>
    </row>
    <row r="2624" spans="1:12" x14ac:dyDescent="0.3">
      <c r="A2624" s="3"/>
      <c r="C2624" s="1"/>
      <c r="E2624" s="1"/>
      <c r="J2624" s="3"/>
      <c r="L2624" s="1"/>
    </row>
    <row r="2625" spans="1:12" x14ac:dyDescent="0.3">
      <c r="A2625" s="3"/>
      <c r="C2625" s="1"/>
      <c r="E2625" s="1"/>
      <c r="J2625" s="3"/>
      <c r="L2625" s="1"/>
    </row>
    <row r="2626" spans="1:12" x14ac:dyDescent="0.3">
      <c r="A2626" s="3"/>
      <c r="C2626" s="1"/>
      <c r="E2626" s="1"/>
      <c r="J2626" s="3"/>
      <c r="L2626" s="1"/>
    </row>
    <row r="2627" spans="1:12" x14ac:dyDescent="0.3">
      <c r="A2627" s="3"/>
      <c r="C2627" s="1"/>
      <c r="E2627" s="1"/>
      <c r="J2627" s="3"/>
      <c r="L2627" s="1"/>
    </row>
    <row r="2628" spans="1:12" x14ac:dyDescent="0.3">
      <c r="A2628" s="3"/>
      <c r="C2628" s="1"/>
      <c r="E2628" s="1"/>
      <c r="J2628" s="3"/>
      <c r="L2628" s="1"/>
    </row>
    <row r="2629" spans="1:12" x14ac:dyDescent="0.3">
      <c r="A2629" s="3"/>
      <c r="C2629" s="1"/>
      <c r="E2629" s="1"/>
      <c r="J2629" s="3"/>
      <c r="L2629" s="1"/>
    </row>
    <row r="2630" spans="1:12" x14ac:dyDescent="0.3">
      <c r="A2630" s="3"/>
      <c r="C2630" s="1"/>
      <c r="E2630" s="1"/>
      <c r="J2630" s="3"/>
      <c r="L2630" s="1"/>
    </row>
    <row r="2631" spans="1:12" x14ac:dyDescent="0.3">
      <c r="A2631" s="3"/>
      <c r="C2631" s="1"/>
      <c r="E2631" s="1"/>
      <c r="J2631" s="3"/>
      <c r="L2631" s="1"/>
    </row>
    <row r="2632" spans="1:12" x14ac:dyDescent="0.3">
      <c r="A2632" s="3"/>
      <c r="C2632" s="1"/>
      <c r="E2632" s="1"/>
      <c r="J2632" s="3"/>
      <c r="L2632" s="1"/>
    </row>
    <row r="2633" spans="1:12" x14ac:dyDescent="0.3">
      <c r="A2633" s="3"/>
      <c r="C2633" s="1"/>
      <c r="E2633" s="1"/>
      <c r="J2633" s="3"/>
      <c r="L2633" s="1"/>
    </row>
    <row r="2634" spans="1:12" x14ac:dyDescent="0.3">
      <c r="A2634" s="3"/>
      <c r="C2634" s="1"/>
      <c r="E2634" s="1"/>
      <c r="J2634" s="3"/>
      <c r="L2634" s="1"/>
    </row>
    <row r="2635" spans="1:12" x14ac:dyDescent="0.3">
      <c r="A2635" s="3"/>
      <c r="C2635" s="1"/>
      <c r="E2635" s="1"/>
      <c r="J2635" s="3"/>
      <c r="L2635" s="1"/>
    </row>
    <row r="2636" spans="1:12" x14ac:dyDescent="0.3">
      <c r="A2636" s="3"/>
      <c r="C2636" s="1"/>
      <c r="E2636" s="1"/>
      <c r="J2636" s="3"/>
      <c r="L2636" s="1"/>
    </row>
    <row r="2637" spans="1:12" x14ac:dyDescent="0.3">
      <c r="A2637" s="3"/>
      <c r="C2637" s="1"/>
      <c r="E2637" s="1"/>
      <c r="J2637" s="3"/>
      <c r="L2637" s="1"/>
    </row>
    <row r="2638" spans="1:12" x14ac:dyDescent="0.3">
      <c r="A2638" s="3"/>
      <c r="C2638" s="1"/>
      <c r="E2638" s="1"/>
      <c r="J2638" s="3"/>
      <c r="L2638" s="1"/>
    </row>
    <row r="2639" spans="1:12" x14ac:dyDescent="0.3">
      <c r="A2639" s="3"/>
      <c r="C2639" s="1"/>
      <c r="E2639" s="1"/>
      <c r="J2639" s="3"/>
      <c r="L2639" s="1"/>
    </row>
    <row r="2640" spans="1:12" x14ac:dyDescent="0.3">
      <c r="A2640" s="3"/>
      <c r="C2640" s="1"/>
      <c r="E2640" s="1"/>
      <c r="J2640" s="3"/>
      <c r="L2640" s="1"/>
    </row>
    <row r="2641" spans="1:12" x14ac:dyDescent="0.3">
      <c r="A2641" s="3"/>
      <c r="C2641" s="1"/>
      <c r="E2641" s="1"/>
      <c r="J2641" s="3"/>
      <c r="L2641" s="1"/>
    </row>
    <row r="2642" spans="1:12" x14ac:dyDescent="0.3">
      <c r="A2642" s="3"/>
      <c r="C2642" s="1"/>
      <c r="E2642" s="1"/>
      <c r="J2642" s="3"/>
      <c r="L2642" s="1"/>
    </row>
    <row r="2643" spans="1:12" x14ac:dyDescent="0.3">
      <c r="A2643" s="3"/>
      <c r="C2643" s="1"/>
      <c r="E2643" s="1"/>
      <c r="J2643" s="3"/>
      <c r="L2643" s="1"/>
    </row>
    <row r="2644" spans="1:12" x14ac:dyDescent="0.3">
      <c r="A2644" s="3"/>
      <c r="C2644" s="1"/>
      <c r="E2644" s="1"/>
      <c r="J2644" s="3"/>
      <c r="L2644" s="1"/>
    </row>
    <row r="2645" spans="1:12" x14ac:dyDescent="0.3">
      <c r="A2645" s="3"/>
      <c r="C2645" s="1"/>
      <c r="E2645" s="1"/>
      <c r="J2645" s="3"/>
      <c r="L2645" s="1"/>
    </row>
    <row r="2646" spans="1:12" x14ac:dyDescent="0.3">
      <c r="A2646" s="3"/>
      <c r="C2646" s="1"/>
      <c r="E2646" s="1"/>
      <c r="J2646" s="3"/>
      <c r="L2646" s="1"/>
    </row>
    <row r="2647" spans="1:12" x14ac:dyDescent="0.3">
      <c r="A2647" s="3"/>
      <c r="C2647" s="1"/>
      <c r="E2647" s="1"/>
      <c r="J2647" s="3"/>
      <c r="L2647" s="1"/>
    </row>
    <row r="2648" spans="1:12" x14ac:dyDescent="0.3">
      <c r="A2648" s="3"/>
      <c r="C2648" s="1"/>
      <c r="E2648" s="1"/>
      <c r="J2648" s="3"/>
      <c r="L2648" s="1"/>
    </row>
    <row r="2649" spans="1:12" x14ac:dyDescent="0.3">
      <c r="A2649" s="3"/>
      <c r="C2649" s="1"/>
      <c r="E2649" s="1"/>
      <c r="J2649" s="3"/>
      <c r="L2649" s="1"/>
    </row>
    <row r="2650" spans="1:12" x14ac:dyDescent="0.3">
      <c r="A2650" s="3"/>
      <c r="C2650" s="1"/>
      <c r="E2650" s="1"/>
      <c r="J2650" s="3"/>
      <c r="L2650" s="1"/>
    </row>
    <row r="2651" spans="1:12" x14ac:dyDescent="0.3">
      <c r="A2651" s="3"/>
      <c r="C2651" s="1"/>
      <c r="E2651" s="1"/>
      <c r="J2651" s="3"/>
      <c r="L2651" s="1"/>
    </row>
    <row r="2652" spans="1:12" x14ac:dyDescent="0.3">
      <c r="A2652" s="3"/>
      <c r="C2652" s="1"/>
      <c r="E2652" s="1"/>
      <c r="J2652" s="3"/>
      <c r="L2652" s="1"/>
    </row>
    <row r="2653" spans="1:12" x14ac:dyDescent="0.3">
      <c r="A2653" s="3"/>
      <c r="C2653" s="1"/>
      <c r="E2653" s="1"/>
      <c r="J2653" s="3"/>
      <c r="L2653" s="1"/>
    </row>
    <row r="2654" spans="1:12" x14ac:dyDescent="0.3">
      <c r="A2654" s="3"/>
      <c r="C2654" s="1"/>
      <c r="E2654" s="1"/>
      <c r="J2654" s="3"/>
      <c r="L2654" s="1"/>
    </row>
    <row r="2655" spans="1:12" x14ac:dyDescent="0.3">
      <c r="A2655" s="3"/>
      <c r="C2655" s="1"/>
      <c r="E2655" s="1"/>
      <c r="J2655" s="3"/>
      <c r="L2655" s="1"/>
    </row>
    <row r="2656" spans="1:12" x14ac:dyDescent="0.3">
      <c r="A2656" s="3"/>
      <c r="C2656" s="1"/>
      <c r="E2656" s="1"/>
      <c r="J2656" s="3"/>
      <c r="L2656" s="1"/>
    </row>
    <row r="2657" spans="1:12" x14ac:dyDescent="0.3">
      <c r="A2657" s="3"/>
      <c r="C2657" s="1"/>
      <c r="E2657" s="1"/>
      <c r="J2657" s="3"/>
      <c r="L2657" s="1"/>
    </row>
    <row r="2658" spans="1:12" x14ac:dyDescent="0.3">
      <c r="A2658" s="3"/>
      <c r="C2658" s="1"/>
      <c r="E2658" s="1"/>
      <c r="J2658" s="3"/>
      <c r="L2658" s="1"/>
    </row>
    <row r="2659" spans="1:12" x14ac:dyDescent="0.3">
      <c r="A2659" s="3"/>
      <c r="C2659" s="1"/>
      <c r="E2659" s="1"/>
      <c r="J2659" s="3"/>
      <c r="L2659" s="1"/>
    </row>
    <row r="2660" spans="1:12" x14ac:dyDescent="0.3">
      <c r="A2660" s="3"/>
      <c r="C2660" s="1"/>
      <c r="E2660" s="1"/>
      <c r="J2660" s="3"/>
      <c r="L2660" s="1"/>
    </row>
    <row r="2661" spans="1:12" x14ac:dyDescent="0.3">
      <c r="A2661" s="3"/>
      <c r="C2661" s="1"/>
      <c r="E2661" s="1"/>
      <c r="J2661" s="3"/>
      <c r="L2661" s="1"/>
    </row>
    <row r="2662" spans="1:12" x14ac:dyDescent="0.3">
      <c r="A2662" s="3"/>
      <c r="C2662" s="1"/>
      <c r="E2662" s="1"/>
      <c r="J2662" s="3"/>
      <c r="L2662" s="1"/>
    </row>
    <row r="2663" spans="1:12" x14ac:dyDescent="0.3">
      <c r="A2663" s="3"/>
      <c r="C2663" s="1"/>
      <c r="E2663" s="1"/>
      <c r="J2663" s="3"/>
      <c r="L2663" s="1"/>
    </row>
    <row r="2664" spans="1:12" x14ac:dyDescent="0.3">
      <c r="A2664" s="3"/>
      <c r="C2664" s="1"/>
      <c r="E2664" s="1"/>
      <c r="J2664" s="3"/>
      <c r="L2664" s="1"/>
    </row>
    <row r="2665" spans="1:12" x14ac:dyDescent="0.3">
      <c r="A2665" s="3"/>
      <c r="C2665" s="1"/>
      <c r="E2665" s="1"/>
      <c r="J2665" s="3"/>
      <c r="L2665" s="1"/>
    </row>
    <row r="2666" spans="1:12" x14ac:dyDescent="0.3">
      <c r="A2666" s="3"/>
      <c r="C2666" s="1"/>
      <c r="E2666" s="1"/>
      <c r="J2666" s="3"/>
      <c r="L2666" s="1"/>
    </row>
    <row r="2667" spans="1:12" x14ac:dyDescent="0.3">
      <c r="A2667" s="3"/>
      <c r="C2667" s="1"/>
      <c r="E2667" s="1"/>
      <c r="J2667" s="3"/>
      <c r="L2667" s="1"/>
    </row>
    <row r="2668" spans="1:12" x14ac:dyDescent="0.3">
      <c r="A2668" s="3"/>
      <c r="C2668" s="1"/>
      <c r="E2668" s="1"/>
      <c r="J2668" s="3"/>
      <c r="L2668" s="1"/>
    </row>
    <row r="2669" spans="1:12" x14ac:dyDescent="0.3">
      <c r="A2669" s="3"/>
      <c r="C2669" s="1"/>
      <c r="E2669" s="1"/>
      <c r="J2669" s="3"/>
      <c r="L2669" s="1"/>
    </row>
    <row r="2670" spans="1:12" x14ac:dyDescent="0.3">
      <c r="A2670" s="3"/>
      <c r="C2670" s="1"/>
      <c r="E2670" s="1"/>
      <c r="J2670" s="3"/>
      <c r="L2670" s="1"/>
    </row>
    <row r="2671" spans="1:12" x14ac:dyDescent="0.3">
      <c r="A2671" s="3"/>
      <c r="C2671" s="1"/>
      <c r="E2671" s="1"/>
      <c r="J2671" s="3"/>
      <c r="L2671" s="1"/>
    </row>
    <row r="2672" spans="1:12" x14ac:dyDescent="0.3">
      <c r="A2672" s="3"/>
      <c r="C2672" s="1"/>
      <c r="E2672" s="1"/>
      <c r="J2672" s="3"/>
      <c r="L2672" s="1"/>
    </row>
    <row r="2673" spans="1:12" x14ac:dyDescent="0.3">
      <c r="A2673" s="3"/>
      <c r="C2673" s="1"/>
      <c r="E2673" s="1"/>
      <c r="J2673" s="3"/>
      <c r="L2673" s="1"/>
    </row>
    <row r="2674" spans="1:12" x14ac:dyDescent="0.3">
      <c r="A2674" s="3"/>
      <c r="C2674" s="1"/>
      <c r="E2674" s="1"/>
      <c r="J2674" s="3"/>
      <c r="L2674" s="1"/>
    </row>
    <row r="2675" spans="1:12" x14ac:dyDescent="0.3">
      <c r="A2675" s="3"/>
      <c r="C2675" s="1"/>
      <c r="E2675" s="1"/>
      <c r="J2675" s="3"/>
      <c r="L2675" s="1"/>
    </row>
    <row r="2676" spans="1:12" x14ac:dyDescent="0.3">
      <c r="A2676" s="3"/>
      <c r="C2676" s="1"/>
      <c r="E2676" s="1"/>
      <c r="J2676" s="3"/>
      <c r="L2676" s="1"/>
    </row>
    <row r="2677" spans="1:12" x14ac:dyDescent="0.3">
      <c r="A2677" s="3"/>
      <c r="C2677" s="1"/>
      <c r="E2677" s="1"/>
      <c r="J2677" s="3"/>
      <c r="L2677" s="1"/>
    </row>
    <row r="2678" spans="1:12" x14ac:dyDescent="0.3">
      <c r="A2678" s="3"/>
      <c r="C2678" s="1"/>
      <c r="E2678" s="1"/>
      <c r="J2678" s="3"/>
      <c r="L2678" s="1"/>
    </row>
    <row r="2679" spans="1:12" x14ac:dyDescent="0.3">
      <c r="A2679" s="3"/>
      <c r="C2679" s="1"/>
      <c r="E2679" s="1"/>
      <c r="J2679" s="3"/>
      <c r="L2679" s="1"/>
    </row>
    <row r="2680" spans="1:12" x14ac:dyDescent="0.3">
      <c r="A2680" s="3"/>
      <c r="C2680" s="1"/>
      <c r="E2680" s="1"/>
      <c r="J2680" s="3"/>
      <c r="L2680" s="1"/>
    </row>
    <row r="2681" spans="1:12" x14ac:dyDescent="0.3">
      <c r="A2681" s="3"/>
      <c r="C2681" s="1"/>
      <c r="E2681" s="1"/>
      <c r="J2681" s="3"/>
      <c r="L2681" s="1"/>
    </row>
    <row r="2682" spans="1:12" x14ac:dyDescent="0.3">
      <c r="A2682" s="3"/>
      <c r="C2682" s="1"/>
      <c r="E2682" s="1"/>
      <c r="J2682" s="3"/>
      <c r="L2682" s="1"/>
    </row>
    <row r="2683" spans="1:12" x14ac:dyDescent="0.3">
      <c r="A2683" s="3"/>
      <c r="C2683" s="1"/>
      <c r="E2683" s="1"/>
      <c r="J2683" s="3"/>
      <c r="L2683" s="1"/>
    </row>
    <row r="2684" spans="1:12" x14ac:dyDescent="0.3">
      <c r="A2684" s="3"/>
      <c r="C2684" s="1"/>
      <c r="E2684" s="1"/>
      <c r="J2684" s="3"/>
      <c r="L2684" s="1"/>
    </row>
    <row r="2685" spans="1:12" x14ac:dyDescent="0.3">
      <c r="A2685" s="3"/>
      <c r="C2685" s="1"/>
      <c r="E2685" s="1"/>
      <c r="J2685" s="3"/>
      <c r="L2685" s="1"/>
    </row>
    <row r="2686" spans="1:12" x14ac:dyDescent="0.3">
      <c r="A2686" s="3"/>
      <c r="C2686" s="1"/>
      <c r="E2686" s="1"/>
      <c r="J2686" s="3"/>
      <c r="L2686" s="1"/>
    </row>
    <row r="2687" spans="1:12" x14ac:dyDescent="0.3">
      <c r="A2687" s="3"/>
      <c r="C2687" s="1"/>
      <c r="E2687" s="1"/>
      <c r="J2687" s="3"/>
      <c r="L2687" s="1"/>
    </row>
    <row r="2688" spans="1:12" x14ac:dyDescent="0.3">
      <c r="A2688" s="3"/>
      <c r="C2688" s="1"/>
      <c r="E2688" s="1"/>
      <c r="J2688" s="3"/>
      <c r="L2688" s="1"/>
    </row>
    <row r="2689" spans="1:12" x14ac:dyDescent="0.3">
      <c r="A2689" s="3"/>
      <c r="C2689" s="1"/>
      <c r="E2689" s="1"/>
      <c r="J2689" s="3"/>
      <c r="L2689" s="1"/>
    </row>
    <row r="2690" spans="1:12" x14ac:dyDescent="0.3">
      <c r="A2690" s="3"/>
      <c r="C2690" s="1"/>
      <c r="E2690" s="1"/>
      <c r="J2690" s="3"/>
      <c r="L2690" s="1"/>
    </row>
    <row r="2691" spans="1:12" x14ac:dyDescent="0.3">
      <c r="A2691" s="3"/>
      <c r="C2691" s="1"/>
      <c r="E2691" s="1"/>
      <c r="J2691" s="3"/>
      <c r="L2691" s="1"/>
    </row>
    <row r="2692" spans="1:12" x14ac:dyDescent="0.3">
      <c r="A2692" s="3"/>
      <c r="C2692" s="1"/>
      <c r="E2692" s="1"/>
      <c r="J2692" s="3"/>
      <c r="L2692" s="1"/>
    </row>
    <row r="2693" spans="1:12" x14ac:dyDescent="0.3">
      <c r="A2693" s="3"/>
      <c r="C2693" s="1"/>
      <c r="E2693" s="1"/>
      <c r="J2693" s="3"/>
      <c r="L2693" s="1"/>
    </row>
    <row r="2694" spans="1:12" x14ac:dyDescent="0.3">
      <c r="A2694" s="3"/>
      <c r="C2694" s="1"/>
      <c r="E2694" s="1"/>
      <c r="J2694" s="3"/>
      <c r="L2694" s="1"/>
    </row>
    <row r="2695" spans="1:12" x14ac:dyDescent="0.3">
      <c r="A2695" s="3"/>
      <c r="C2695" s="1"/>
      <c r="E2695" s="1"/>
      <c r="J2695" s="3"/>
      <c r="L2695" s="1"/>
    </row>
    <row r="2696" spans="1:12" x14ac:dyDescent="0.3">
      <c r="A2696" s="3"/>
      <c r="C2696" s="1"/>
      <c r="E2696" s="1"/>
      <c r="J2696" s="3"/>
      <c r="L2696" s="1"/>
    </row>
    <row r="2697" spans="1:12" x14ac:dyDescent="0.3">
      <c r="A2697" s="3"/>
      <c r="C2697" s="1"/>
      <c r="E2697" s="1"/>
      <c r="J2697" s="3"/>
      <c r="L2697" s="1"/>
    </row>
    <row r="2698" spans="1:12" x14ac:dyDescent="0.3">
      <c r="A2698" s="3"/>
      <c r="C2698" s="1"/>
      <c r="E2698" s="1"/>
      <c r="J2698" s="3"/>
      <c r="L2698" s="1"/>
    </row>
    <row r="2699" spans="1:12" x14ac:dyDescent="0.3">
      <c r="A2699" s="3"/>
      <c r="C2699" s="1"/>
      <c r="E2699" s="1"/>
      <c r="J2699" s="3"/>
      <c r="L2699" s="1"/>
    </row>
    <row r="2700" spans="1:12" x14ac:dyDescent="0.3">
      <c r="A2700" s="3"/>
      <c r="C2700" s="1"/>
      <c r="E2700" s="1"/>
      <c r="J2700" s="3"/>
      <c r="L2700" s="1"/>
    </row>
    <row r="2701" spans="1:12" x14ac:dyDescent="0.3">
      <c r="A2701" s="3"/>
      <c r="C2701" s="1"/>
      <c r="E2701" s="1"/>
      <c r="J2701" s="3"/>
      <c r="L2701" s="1"/>
    </row>
    <row r="2702" spans="1:12" x14ac:dyDescent="0.3">
      <c r="A2702" s="3"/>
      <c r="C2702" s="1"/>
      <c r="E2702" s="1"/>
      <c r="J2702" s="3"/>
      <c r="L2702" s="1"/>
    </row>
    <row r="2703" spans="1:12" x14ac:dyDescent="0.3">
      <c r="A2703" s="3"/>
      <c r="C2703" s="1"/>
      <c r="E2703" s="1"/>
      <c r="J2703" s="3"/>
      <c r="L2703" s="1"/>
    </row>
    <row r="2704" spans="1:12" x14ac:dyDescent="0.3">
      <c r="A2704" s="3"/>
      <c r="C2704" s="1"/>
      <c r="E2704" s="1"/>
      <c r="J2704" s="3"/>
      <c r="L2704" s="1"/>
    </row>
    <row r="2705" spans="1:12" x14ac:dyDescent="0.3">
      <c r="A2705" s="3"/>
      <c r="C2705" s="1"/>
      <c r="E2705" s="1"/>
      <c r="J2705" s="3"/>
      <c r="L2705" s="1"/>
    </row>
    <row r="2706" spans="1:12" x14ac:dyDescent="0.3">
      <c r="A2706" s="3"/>
      <c r="C2706" s="1"/>
      <c r="E2706" s="1"/>
      <c r="J2706" s="3"/>
      <c r="L2706" s="1"/>
    </row>
    <row r="2707" spans="1:12" x14ac:dyDescent="0.3">
      <c r="A2707" s="3"/>
      <c r="C2707" s="1"/>
      <c r="E2707" s="1"/>
      <c r="J2707" s="3"/>
      <c r="L2707" s="1"/>
    </row>
    <row r="2708" spans="1:12" x14ac:dyDescent="0.3">
      <c r="A2708" s="3"/>
      <c r="C2708" s="1"/>
      <c r="E2708" s="1"/>
      <c r="J2708" s="3"/>
      <c r="L2708" s="1"/>
    </row>
    <row r="2709" spans="1:12" x14ac:dyDescent="0.3">
      <c r="A2709" s="3"/>
      <c r="C2709" s="1"/>
      <c r="E2709" s="1"/>
      <c r="J2709" s="3"/>
      <c r="L2709" s="1"/>
    </row>
    <row r="2710" spans="1:12" x14ac:dyDescent="0.3">
      <c r="A2710" s="3"/>
      <c r="C2710" s="1"/>
      <c r="E2710" s="1"/>
      <c r="J2710" s="3"/>
      <c r="L2710" s="1"/>
    </row>
    <row r="2711" spans="1:12" x14ac:dyDescent="0.3">
      <c r="A2711" s="3"/>
      <c r="C2711" s="1"/>
      <c r="E2711" s="1"/>
      <c r="J2711" s="3"/>
      <c r="L2711" s="1"/>
    </row>
    <row r="2712" spans="1:12" x14ac:dyDescent="0.3">
      <c r="A2712" s="3"/>
      <c r="C2712" s="1"/>
      <c r="E2712" s="1"/>
      <c r="J2712" s="3"/>
      <c r="L2712" s="1"/>
    </row>
    <row r="2713" spans="1:12" x14ac:dyDescent="0.3">
      <c r="A2713" s="3"/>
      <c r="C2713" s="1"/>
      <c r="E2713" s="1"/>
      <c r="J2713" s="3"/>
      <c r="L2713" s="1"/>
    </row>
    <row r="2714" spans="1:12" x14ac:dyDescent="0.3">
      <c r="A2714" s="3"/>
      <c r="C2714" s="1"/>
      <c r="E2714" s="1"/>
      <c r="J2714" s="3"/>
      <c r="L2714" s="1"/>
    </row>
    <row r="2715" spans="1:12" x14ac:dyDescent="0.3">
      <c r="A2715" s="3"/>
      <c r="C2715" s="1"/>
      <c r="E2715" s="1"/>
      <c r="J2715" s="3"/>
      <c r="L2715" s="1"/>
    </row>
    <row r="2716" spans="1:12" x14ac:dyDescent="0.3">
      <c r="A2716" s="3"/>
      <c r="C2716" s="1"/>
      <c r="E2716" s="1"/>
      <c r="J2716" s="3"/>
      <c r="L2716" s="1"/>
    </row>
    <row r="2717" spans="1:12" x14ac:dyDescent="0.3">
      <c r="A2717" s="3"/>
      <c r="C2717" s="1"/>
      <c r="E2717" s="1"/>
      <c r="J2717" s="3"/>
      <c r="L2717" s="1"/>
    </row>
    <row r="2718" spans="1:12" x14ac:dyDescent="0.3">
      <c r="A2718" s="3"/>
      <c r="C2718" s="1"/>
      <c r="E2718" s="1"/>
      <c r="J2718" s="3"/>
      <c r="L2718" s="1"/>
    </row>
    <row r="2719" spans="1:12" x14ac:dyDescent="0.3">
      <c r="A2719" s="3"/>
      <c r="C2719" s="1"/>
      <c r="E2719" s="1"/>
      <c r="J2719" s="3"/>
      <c r="L2719" s="1"/>
    </row>
    <row r="2720" spans="1:12" x14ac:dyDescent="0.3">
      <c r="A2720" s="3"/>
      <c r="C2720" s="1"/>
      <c r="E2720" s="1"/>
      <c r="J2720" s="3"/>
      <c r="L2720" s="1"/>
    </row>
    <row r="2721" spans="1:12" x14ac:dyDescent="0.3">
      <c r="A2721" s="3"/>
      <c r="C2721" s="1"/>
      <c r="E2721" s="1"/>
      <c r="J2721" s="3"/>
      <c r="L2721" s="1"/>
    </row>
    <row r="2722" spans="1:12" x14ac:dyDescent="0.3">
      <c r="A2722" s="3"/>
      <c r="C2722" s="1"/>
      <c r="E2722" s="1"/>
      <c r="J2722" s="3"/>
      <c r="L2722" s="1"/>
    </row>
    <row r="2723" spans="1:12" x14ac:dyDescent="0.3">
      <c r="A2723" s="3"/>
      <c r="C2723" s="1"/>
      <c r="E2723" s="1"/>
      <c r="J2723" s="3"/>
      <c r="L2723" s="1"/>
    </row>
    <row r="2724" spans="1:12" x14ac:dyDescent="0.3">
      <c r="A2724" s="3"/>
      <c r="C2724" s="1"/>
      <c r="E2724" s="1"/>
      <c r="J2724" s="3"/>
      <c r="L2724" s="1"/>
    </row>
    <row r="2725" spans="1:12" x14ac:dyDescent="0.3">
      <c r="A2725" s="3"/>
      <c r="C2725" s="1"/>
      <c r="E2725" s="1"/>
      <c r="J2725" s="3"/>
      <c r="L2725" s="1"/>
    </row>
    <row r="2726" spans="1:12" x14ac:dyDescent="0.3">
      <c r="A2726" s="3"/>
      <c r="C2726" s="1"/>
      <c r="E2726" s="1"/>
      <c r="J2726" s="3"/>
      <c r="L2726" s="1"/>
    </row>
    <row r="2727" spans="1:12" x14ac:dyDescent="0.3">
      <c r="A2727" s="3"/>
      <c r="C2727" s="1"/>
      <c r="E2727" s="1"/>
      <c r="J2727" s="3"/>
      <c r="L2727" s="1"/>
    </row>
    <row r="2728" spans="1:12" x14ac:dyDescent="0.3">
      <c r="A2728" s="3"/>
      <c r="C2728" s="1"/>
      <c r="E2728" s="1"/>
      <c r="J2728" s="3"/>
      <c r="L2728" s="1"/>
    </row>
    <row r="2729" spans="1:12" x14ac:dyDescent="0.3">
      <c r="A2729" s="3"/>
      <c r="C2729" s="1"/>
      <c r="E2729" s="1"/>
      <c r="J2729" s="3"/>
      <c r="L2729" s="1"/>
    </row>
    <row r="2730" spans="1:12" x14ac:dyDescent="0.3">
      <c r="A2730" s="3"/>
      <c r="C2730" s="1"/>
      <c r="E2730" s="1"/>
      <c r="J2730" s="3"/>
      <c r="L2730" s="1"/>
    </row>
    <row r="2731" spans="1:12" x14ac:dyDescent="0.3">
      <c r="A2731" s="3"/>
      <c r="C2731" s="1"/>
      <c r="E2731" s="1"/>
      <c r="J2731" s="3"/>
      <c r="L2731" s="1"/>
    </row>
    <row r="2732" spans="1:12" x14ac:dyDescent="0.3">
      <c r="A2732" s="3"/>
      <c r="C2732" s="1"/>
      <c r="E2732" s="1"/>
      <c r="J2732" s="3"/>
      <c r="L2732" s="1"/>
    </row>
    <row r="2733" spans="1:12" x14ac:dyDescent="0.3">
      <c r="A2733" s="3"/>
      <c r="C2733" s="1"/>
      <c r="E2733" s="1"/>
      <c r="J2733" s="3"/>
      <c r="L2733" s="1"/>
    </row>
    <row r="2734" spans="1:12" x14ac:dyDescent="0.3">
      <c r="A2734" s="3"/>
      <c r="C2734" s="1"/>
      <c r="E2734" s="1"/>
      <c r="J2734" s="3"/>
      <c r="L2734" s="1"/>
    </row>
    <row r="2735" spans="1:12" x14ac:dyDescent="0.3">
      <c r="A2735" s="3"/>
      <c r="C2735" s="1"/>
      <c r="E2735" s="1"/>
      <c r="J2735" s="3"/>
      <c r="L2735" s="1"/>
    </row>
    <row r="2736" spans="1:12" x14ac:dyDescent="0.3">
      <c r="A2736" s="3"/>
      <c r="C2736" s="1"/>
      <c r="E2736" s="1"/>
      <c r="J2736" s="3"/>
      <c r="L2736" s="1"/>
    </row>
    <row r="2737" spans="1:12" x14ac:dyDescent="0.3">
      <c r="A2737" s="3"/>
      <c r="C2737" s="1"/>
      <c r="E2737" s="1"/>
      <c r="J2737" s="3"/>
      <c r="L2737" s="1"/>
    </row>
    <row r="2738" spans="1:12" x14ac:dyDescent="0.3">
      <c r="A2738" s="3"/>
      <c r="C2738" s="1"/>
      <c r="E2738" s="1"/>
      <c r="J2738" s="3"/>
      <c r="L2738" s="1"/>
    </row>
    <row r="2739" spans="1:12" x14ac:dyDescent="0.3">
      <c r="A2739" s="3"/>
      <c r="C2739" s="1"/>
      <c r="E2739" s="1"/>
      <c r="J2739" s="3"/>
      <c r="L2739" s="1"/>
    </row>
    <row r="2740" spans="1:12" x14ac:dyDescent="0.3">
      <c r="A2740" s="3"/>
      <c r="C2740" s="1"/>
      <c r="E2740" s="1"/>
      <c r="J2740" s="3"/>
      <c r="L2740" s="1"/>
    </row>
    <row r="2741" spans="1:12" x14ac:dyDescent="0.3">
      <c r="A2741" s="3"/>
      <c r="C2741" s="1"/>
      <c r="E2741" s="1"/>
      <c r="J2741" s="3"/>
      <c r="L2741" s="1"/>
    </row>
    <row r="2742" spans="1:12" x14ac:dyDescent="0.3">
      <c r="A2742" s="3"/>
      <c r="C2742" s="1"/>
      <c r="E2742" s="1"/>
      <c r="J2742" s="3"/>
      <c r="L2742" s="1"/>
    </row>
    <row r="2743" spans="1:12" x14ac:dyDescent="0.3">
      <c r="A2743" s="3"/>
      <c r="C2743" s="1"/>
      <c r="E2743" s="1"/>
      <c r="J2743" s="3"/>
      <c r="L2743" s="1"/>
    </row>
    <row r="2744" spans="1:12" x14ac:dyDescent="0.3">
      <c r="A2744" s="3"/>
      <c r="C2744" s="1"/>
      <c r="E2744" s="1"/>
      <c r="J2744" s="3"/>
      <c r="L2744" s="1"/>
    </row>
    <row r="2745" spans="1:12" x14ac:dyDescent="0.3">
      <c r="A2745" s="3"/>
      <c r="C2745" s="1"/>
      <c r="E2745" s="1"/>
      <c r="J2745" s="3"/>
      <c r="L2745" s="1"/>
    </row>
    <row r="2746" spans="1:12" x14ac:dyDescent="0.3">
      <c r="A2746" s="3"/>
      <c r="C2746" s="1"/>
      <c r="E2746" s="1"/>
      <c r="J2746" s="3"/>
      <c r="L2746" s="1"/>
    </row>
    <row r="2747" spans="1:12" x14ac:dyDescent="0.3">
      <c r="A2747" s="3"/>
      <c r="C2747" s="1"/>
      <c r="E2747" s="1"/>
      <c r="J2747" s="3"/>
      <c r="L2747" s="1"/>
    </row>
    <row r="2748" spans="1:12" x14ac:dyDescent="0.3">
      <c r="A2748" s="3"/>
      <c r="C2748" s="1"/>
      <c r="E2748" s="1"/>
      <c r="J2748" s="3"/>
      <c r="L2748" s="1"/>
    </row>
    <row r="2749" spans="1:12" x14ac:dyDescent="0.3">
      <c r="A2749" s="3"/>
      <c r="C2749" s="1"/>
      <c r="E2749" s="1"/>
      <c r="J2749" s="3"/>
      <c r="L2749" s="1"/>
    </row>
    <row r="2750" spans="1:12" x14ac:dyDescent="0.3">
      <c r="A2750" s="3"/>
      <c r="C2750" s="1"/>
      <c r="E2750" s="1"/>
      <c r="J2750" s="3"/>
      <c r="L2750" s="1"/>
    </row>
    <row r="2751" spans="1:12" x14ac:dyDescent="0.3">
      <c r="A2751" s="3"/>
      <c r="C2751" s="1"/>
      <c r="E2751" s="1"/>
      <c r="J2751" s="3"/>
      <c r="L2751" s="1"/>
    </row>
    <row r="2752" spans="1:12" x14ac:dyDescent="0.3">
      <c r="A2752" s="3"/>
      <c r="C2752" s="1"/>
      <c r="E2752" s="1"/>
      <c r="J2752" s="3"/>
      <c r="L2752" s="1"/>
    </row>
    <row r="2753" spans="1:12" x14ac:dyDescent="0.3">
      <c r="A2753" s="3"/>
      <c r="C2753" s="1"/>
      <c r="E2753" s="1"/>
      <c r="J2753" s="3"/>
      <c r="L2753" s="1"/>
    </row>
    <row r="2754" spans="1:12" x14ac:dyDescent="0.3">
      <c r="A2754" s="3"/>
      <c r="C2754" s="1"/>
      <c r="E2754" s="1"/>
      <c r="J2754" s="3"/>
      <c r="L2754" s="1"/>
    </row>
    <row r="2755" spans="1:12" x14ac:dyDescent="0.3">
      <c r="A2755" s="3"/>
      <c r="C2755" s="1"/>
      <c r="E2755" s="1"/>
      <c r="J2755" s="3"/>
      <c r="L2755" s="1"/>
    </row>
    <row r="2756" spans="1:12" x14ac:dyDescent="0.3">
      <c r="A2756" s="3"/>
      <c r="C2756" s="1"/>
      <c r="E2756" s="1"/>
      <c r="J2756" s="3"/>
      <c r="L2756" s="1"/>
    </row>
    <row r="2757" spans="1:12" x14ac:dyDescent="0.3">
      <c r="A2757" s="3"/>
      <c r="C2757" s="1"/>
      <c r="E2757" s="1"/>
      <c r="J2757" s="3"/>
      <c r="L2757" s="1"/>
    </row>
    <row r="2758" spans="1:12" x14ac:dyDescent="0.3">
      <c r="A2758" s="3"/>
      <c r="C2758" s="1"/>
      <c r="E2758" s="1"/>
      <c r="J2758" s="3"/>
      <c r="L2758" s="1"/>
    </row>
    <row r="2759" spans="1:12" x14ac:dyDescent="0.3">
      <c r="A2759" s="3"/>
      <c r="C2759" s="1"/>
      <c r="E2759" s="1"/>
      <c r="J2759" s="3"/>
      <c r="L2759" s="1"/>
    </row>
    <row r="2760" spans="1:12" x14ac:dyDescent="0.3">
      <c r="A2760" s="3"/>
      <c r="C2760" s="1"/>
      <c r="E2760" s="1"/>
      <c r="J2760" s="3"/>
      <c r="L2760" s="1"/>
    </row>
    <row r="2761" spans="1:12" x14ac:dyDescent="0.3">
      <c r="A2761" s="3"/>
      <c r="C2761" s="1"/>
      <c r="E2761" s="1"/>
      <c r="J2761" s="3"/>
      <c r="L2761" s="1"/>
    </row>
    <row r="2762" spans="1:12" x14ac:dyDescent="0.3">
      <c r="A2762" s="3"/>
      <c r="C2762" s="1"/>
      <c r="E2762" s="1"/>
      <c r="J2762" s="3"/>
      <c r="L2762" s="1"/>
    </row>
    <row r="2763" spans="1:12" x14ac:dyDescent="0.3">
      <c r="A2763" s="3"/>
      <c r="C2763" s="1"/>
      <c r="E2763" s="1"/>
      <c r="J2763" s="3"/>
      <c r="L2763" s="1"/>
    </row>
    <row r="2764" spans="1:12" x14ac:dyDescent="0.3">
      <c r="A2764" s="3"/>
      <c r="C2764" s="1"/>
      <c r="E2764" s="1"/>
      <c r="J2764" s="3"/>
      <c r="L2764" s="1"/>
    </row>
    <row r="2765" spans="1:12" x14ac:dyDescent="0.3">
      <c r="A2765" s="3"/>
      <c r="C2765" s="1"/>
      <c r="E2765" s="1"/>
      <c r="J2765" s="3"/>
      <c r="L2765" s="1"/>
    </row>
    <row r="2766" spans="1:12" x14ac:dyDescent="0.3">
      <c r="A2766" s="3"/>
      <c r="C2766" s="1"/>
      <c r="E2766" s="1"/>
      <c r="J2766" s="3"/>
      <c r="L2766" s="1"/>
    </row>
    <row r="2767" spans="1:12" x14ac:dyDescent="0.3">
      <c r="A2767" s="3"/>
      <c r="C2767" s="1"/>
      <c r="E2767" s="1"/>
      <c r="J2767" s="3"/>
      <c r="L2767" s="1"/>
    </row>
    <row r="2768" spans="1:12" x14ac:dyDescent="0.3">
      <c r="A2768" s="3"/>
      <c r="C2768" s="1"/>
      <c r="E2768" s="1"/>
      <c r="J2768" s="3"/>
      <c r="L2768" s="1"/>
    </row>
    <row r="2769" spans="1:12" x14ac:dyDescent="0.3">
      <c r="A2769" s="3"/>
      <c r="C2769" s="1"/>
      <c r="E2769" s="1"/>
      <c r="J2769" s="3"/>
      <c r="L2769" s="1"/>
    </row>
    <row r="2770" spans="1:12" x14ac:dyDescent="0.3">
      <c r="A2770" s="3"/>
      <c r="C2770" s="1"/>
      <c r="E2770" s="1"/>
      <c r="J2770" s="3"/>
      <c r="L2770" s="1"/>
    </row>
    <row r="2771" spans="1:12" x14ac:dyDescent="0.3">
      <c r="A2771" s="3"/>
      <c r="C2771" s="1"/>
      <c r="E2771" s="1"/>
      <c r="J2771" s="3"/>
      <c r="L2771" s="1"/>
    </row>
    <row r="2772" spans="1:12" x14ac:dyDescent="0.3">
      <c r="A2772" s="3"/>
      <c r="C2772" s="1"/>
      <c r="E2772" s="1"/>
      <c r="J2772" s="3"/>
      <c r="L2772" s="1"/>
    </row>
    <row r="2773" spans="1:12" x14ac:dyDescent="0.3">
      <c r="A2773" s="3"/>
      <c r="C2773" s="1"/>
      <c r="E2773" s="1"/>
      <c r="J2773" s="3"/>
      <c r="L2773" s="1"/>
    </row>
    <row r="2774" spans="1:12" x14ac:dyDescent="0.3">
      <c r="A2774" s="3"/>
      <c r="C2774" s="1"/>
      <c r="E2774" s="1"/>
      <c r="J2774" s="3"/>
      <c r="L2774" s="1"/>
    </row>
    <row r="2775" spans="1:12" x14ac:dyDescent="0.3">
      <c r="A2775" s="3"/>
      <c r="C2775" s="1"/>
      <c r="E2775" s="1"/>
      <c r="J2775" s="3"/>
      <c r="L2775" s="1"/>
    </row>
    <row r="2776" spans="1:12" x14ac:dyDescent="0.3">
      <c r="A2776" s="3"/>
      <c r="C2776" s="1"/>
      <c r="E2776" s="1"/>
      <c r="J2776" s="3"/>
      <c r="L2776" s="1"/>
    </row>
    <row r="2777" spans="1:12" x14ac:dyDescent="0.3">
      <c r="A2777" s="3"/>
      <c r="C2777" s="1"/>
      <c r="E2777" s="1"/>
      <c r="J2777" s="3"/>
      <c r="L2777" s="1"/>
    </row>
    <row r="2778" spans="1:12" x14ac:dyDescent="0.3">
      <c r="A2778" s="3"/>
      <c r="C2778" s="1"/>
      <c r="E2778" s="1"/>
      <c r="J2778" s="3"/>
      <c r="L2778" s="1"/>
    </row>
    <row r="2779" spans="1:12" x14ac:dyDescent="0.3">
      <c r="A2779" s="3"/>
      <c r="C2779" s="1"/>
      <c r="E2779" s="1"/>
      <c r="J2779" s="3"/>
      <c r="L2779" s="1"/>
    </row>
    <row r="2780" spans="1:12" x14ac:dyDescent="0.3">
      <c r="A2780" s="3"/>
      <c r="C2780" s="1"/>
      <c r="E2780" s="1"/>
      <c r="J2780" s="3"/>
      <c r="L2780" s="1"/>
    </row>
    <row r="2781" spans="1:12" x14ac:dyDescent="0.3">
      <c r="A2781" s="3"/>
      <c r="C2781" s="1"/>
      <c r="E2781" s="1"/>
      <c r="J2781" s="3"/>
      <c r="L2781" s="1"/>
    </row>
    <row r="2782" spans="1:12" x14ac:dyDescent="0.3">
      <c r="A2782" s="3"/>
      <c r="C2782" s="1"/>
      <c r="E2782" s="1"/>
      <c r="J2782" s="3"/>
      <c r="L2782" s="1"/>
    </row>
    <row r="2783" spans="1:12" x14ac:dyDescent="0.3">
      <c r="A2783" s="3"/>
      <c r="C2783" s="1"/>
      <c r="E2783" s="1"/>
      <c r="J2783" s="3"/>
      <c r="L2783" s="1"/>
    </row>
    <row r="2784" spans="1:12" x14ac:dyDescent="0.3">
      <c r="A2784" s="3"/>
      <c r="C2784" s="1"/>
      <c r="E2784" s="1"/>
      <c r="J2784" s="3"/>
      <c r="L2784" s="1"/>
    </row>
    <row r="2785" spans="1:12" x14ac:dyDescent="0.3">
      <c r="A2785" s="3"/>
      <c r="C2785" s="1"/>
      <c r="E2785" s="1"/>
      <c r="J2785" s="3"/>
      <c r="L2785" s="1"/>
    </row>
    <row r="2786" spans="1:12" x14ac:dyDescent="0.3">
      <c r="A2786" s="3"/>
      <c r="C2786" s="1"/>
      <c r="E2786" s="1"/>
      <c r="J2786" s="3"/>
      <c r="L2786" s="1"/>
    </row>
    <row r="2787" spans="1:12" x14ac:dyDescent="0.3">
      <c r="A2787" s="3"/>
      <c r="C2787" s="1"/>
      <c r="E2787" s="1"/>
      <c r="J2787" s="3"/>
      <c r="L2787" s="1"/>
    </row>
    <row r="2788" spans="1:12" x14ac:dyDescent="0.3">
      <c r="A2788" s="3"/>
      <c r="C2788" s="1"/>
      <c r="E2788" s="1"/>
      <c r="J2788" s="3"/>
      <c r="L2788" s="1"/>
    </row>
    <row r="2789" spans="1:12" x14ac:dyDescent="0.3">
      <c r="A2789" s="3"/>
      <c r="C2789" s="1"/>
      <c r="E2789" s="1"/>
      <c r="J2789" s="3"/>
      <c r="L2789" s="1"/>
    </row>
    <row r="2790" spans="1:12" x14ac:dyDescent="0.3">
      <c r="A2790" s="3"/>
      <c r="C2790" s="1"/>
      <c r="E2790" s="1"/>
      <c r="J2790" s="3"/>
      <c r="L2790" s="1"/>
    </row>
    <row r="2791" spans="1:12" x14ac:dyDescent="0.3">
      <c r="A2791" s="3"/>
      <c r="C2791" s="1"/>
      <c r="E2791" s="1"/>
      <c r="J2791" s="3"/>
      <c r="L2791" s="1"/>
    </row>
    <row r="2792" spans="1:12" x14ac:dyDescent="0.3">
      <c r="A2792" s="3"/>
      <c r="C2792" s="1"/>
      <c r="E2792" s="1"/>
      <c r="J2792" s="3"/>
      <c r="L2792" s="1"/>
    </row>
    <row r="2793" spans="1:12" x14ac:dyDescent="0.3">
      <c r="A2793" s="3"/>
      <c r="C2793" s="1"/>
      <c r="E2793" s="1"/>
      <c r="J2793" s="3"/>
      <c r="L2793" s="1"/>
    </row>
    <row r="2794" spans="1:12" x14ac:dyDescent="0.3">
      <c r="A2794" s="3"/>
      <c r="C2794" s="1"/>
      <c r="E2794" s="1"/>
      <c r="J2794" s="3"/>
      <c r="L2794" s="1"/>
    </row>
    <row r="2795" spans="1:12" x14ac:dyDescent="0.3">
      <c r="A2795" s="3"/>
      <c r="C2795" s="1"/>
      <c r="E2795" s="1"/>
      <c r="J2795" s="3"/>
      <c r="L2795" s="1"/>
    </row>
    <row r="2796" spans="1:12" x14ac:dyDescent="0.3">
      <c r="A2796" s="3"/>
      <c r="C2796" s="1"/>
      <c r="E2796" s="1"/>
      <c r="J2796" s="3"/>
      <c r="L2796" s="1"/>
    </row>
    <row r="2797" spans="1:12" x14ac:dyDescent="0.3">
      <c r="A2797" s="3"/>
      <c r="C2797" s="1"/>
      <c r="E2797" s="1"/>
      <c r="J2797" s="3"/>
      <c r="L2797" s="1"/>
    </row>
    <row r="2798" spans="1:12" x14ac:dyDescent="0.3">
      <c r="A2798" s="3"/>
      <c r="C2798" s="1"/>
      <c r="E2798" s="1"/>
      <c r="J2798" s="3"/>
      <c r="L2798" s="1"/>
    </row>
    <row r="2799" spans="1:12" x14ac:dyDescent="0.3">
      <c r="A2799" s="3"/>
      <c r="C2799" s="1"/>
      <c r="E2799" s="1"/>
      <c r="J2799" s="3"/>
      <c r="L2799" s="1"/>
    </row>
    <row r="2800" spans="1:12" x14ac:dyDescent="0.3">
      <c r="A2800" s="3"/>
      <c r="C2800" s="1"/>
      <c r="E2800" s="1"/>
      <c r="J2800" s="3"/>
      <c r="L2800" s="1"/>
    </row>
    <row r="2801" spans="1:12" x14ac:dyDescent="0.3">
      <c r="A2801" s="3"/>
      <c r="C2801" s="1"/>
      <c r="E2801" s="1"/>
      <c r="J2801" s="3"/>
      <c r="L2801" s="1"/>
    </row>
    <row r="2802" spans="1:12" x14ac:dyDescent="0.3">
      <c r="A2802" s="3"/>
      <c r="C2802" s="1"/>
      <c r="E2802" s="1"/>
      <c r="J2802" s="3"/>
      <c r="L2802" s="1"/>
    </row>
    <row r="2803" spans="1:12" x14ac:dyDescent="0.3">
      <c r="A2803" s="3"/>
      <c r="C2803" s="1"/>
      <c r="E2803" s="1"/>
      <c r="J2803" s="3"/>
      <c r="L2803" s="1"/>
    </row>
    <row r="2804" spans="1:12" x14ac:dyDescent="0.3">
      <c r="A2804" s="3"/>
      <c r="C2804" s="1"/>
      <c r="E2804" s="1"/>
      <c r="J2804" s="3"/>
      <c r="L2804" s="1"/>
    </row>
    <row r="2805" spans="1:12" x14ac:dyDescent="0.3">
      <c r="A2805" s="3"/>
      <c r="C2805" s="1"/>
      <c r="E2805" s="1"/>
      <c r="J2805" s="3"/>
      <c r="L2805" s="1"/>
    </row>
    <row r="2806" spans="1:12" x14ac:dyDescent="0.3">
      <c r="A2806" s="3"/>
      <c r="C2806" s="1"/>
      <c r="E2806" s="1"/>
      <c r="J2806" s="3"/>
      <c r="L2806" s="1"/>
    </row>
    <row r="2807" spans="1:12" x14ac:dyDescent="0.3">
      <c r="A2807" s="3"/>
      <c r="C2807" s="1"/>
      <c r="E2807" s="1"/>
      <c r="J2807" s="3"/>
      <c r="L2807" s="1"/>
    </row>
    <row r="2808" spans="1:12" x14ac:dyDescent="0.3">
      <c r="A2808" s="3"/>
      <c r="C2808" s="1"/>
      <c r="E2808" s="1"/>
      <c r="J2808" s="3"/>
      <c r="L2808" s="1"/>
    </row>
    <row r="2809" spans="1:12" x14ac:dyDescent="0.3">
      <c r="A2809" s="3"/>
      <c r="C2809" s="1"/>
      <c r="E2809" s="1"/>
      <c r="J2809" s="3"/>
      <c r="L2809" s="1"/>
    </row>
    <row r="2810" spans="1:12" x14ac:dyDescent="0.3">
      <c r="A2810" s="3"/>
      <c r="C2810" s="1"/>
      <c r="E2810" s="1"/>
      <c r="J2810" s="3"/>
      <c r="L2810" s="1"/>
    </row>
    <row r="2811" spans="1:12" x14ac:dyDescent="0.3">
      <c r="A2811" s="3"/>
      <c r="C2811" s="1"/>
      <c r="E2811" s="1"/>
      <c r="J2811" s="3"/>
      <c r="L2811" s="1"/>
    </row>
    <row r="2812" spans="1:12" x14ac:dyDescent="0.3">
      <c r="A2812" s="3"/>
      <c r="C2812" s="1"/>
      <c r="E2812" s="1"/>
      <c r="J2812" s="3"/>
      <c r="L2812" s="1"/>
    </row>
    <row r="2813" spans="1:12" x14ac:dyDescent="0.3">
      <c r="A2813" s="3"/>
      <c r="C2813" s="1"/>
      <c r="E2813" s="1"/>
      <c r="J2813" s="3"/>
      <c r="L2813" s="1"/>
    </row>
    <row r="2814" spans="1:12" x14ac:dyDescent="0.3">
      <c r="A2814" s="3"/>
      <c r="C2814" s="1"/>
      <c r="E2814" s="1"/>
      <c r="J2814" s="3"/>
      <c r="L2814" s="1"/>
    </row>
    <row r="2815" spans="1:12" x14ac:dyDescent="0.3">
      <c r="A2815" s="3"/>
      <c r="C2815" s="1"/>
      <c r="E2815" s="1"/>
      <c r="J2815" s="3"/>
      <c r="L2815" s="1"/>
    </row>
    <row r="2816" spans="1:12" x14ac:dyDescent="0.3">
      <c r="A2816" s="3"/>
      <c r="C2816" s="1"/>
      <c r="E2816" s="1"/>
      <c r="J2816" s="3"/>
      <c r="L2816" s="1"/>
    </row>
    <row r="2817" spans="1:12" x14ac:dyDescent="0.3">
      <c r="A2817" s="3"/>
      <c r="C2817" s="1"/>
      <c r="E2817" s="1"/>
      <c r="J2817" s="3"/>
      <c r="L2817" s="1"/>
    </row>
    <row r="2818" spans="1:12" x14ac:dyDescent="0.3">
      <c r="A2818" s="3"/>
      <c r="C2818" s="1"/>
      <c r="E2818" s="1"/>
      <c r="J2818" s="3"/>
      <c r="L2818" s="1"/>
    </row>
    <row r="2819" spans="1:12" x14ac:dyDescent="0.3">
      <c r="A2819" s="3"/>
      <c r="C2819" s="1"/>
      <c r="E2819" s="1"/>
      <c r="J2819" s="3"/>
      <c r="L2819" s="1"/>
    </row>
    <row r="2820" spans="1:12" x14ac:dyDescent="0.3">
      <c r="A2820" s="3"/>
      <c r="C2820" s="1"/>
      <c r="E2820" s="1"/>
      <c r="J2820" s="3"/>
      <c r="L2820" s="1"/>
    </row>
    <row r="2821" spans="1:12" x14ac:dyDescent="0.3">
      <c r="A2821" s="3"/>
      <c r="C2821" s="1"/>
      <c r="E2821" s="1"/>
      <c r="J2821" s="3"/>
      <c r="L2821" s="1"/>
    </row>
    <row r="2822" spans="1:12" x14ac:dyDescent="0.3">
      <c r="A2822" s="3"/>
      <c r="C2822" s="1"/>
      <c r="E2822" s="1"/>
      <c r="J2822" s="3"/>
      <c r="L2822" s="1"/>
    </row>
    <row r="2823" spans="1:12" x14ac:dyDescent="0.3">
      <c r="A2823" s="3"/>
      <c r="C2823" s="1"/>
      <c r="E2823" s="1"/>
      <c r="J2823" s="3"/>
      <c r="L2823" s="1"/>
    </row>
    <row r="2824" spans="1:12" x14ac:dyDescent="0.3">
      <c r="A2824" s="3"/>
      <c r="C2824" s="1"/>
      <c r="E2824" s="1"/>
      <c r="J2824" s="3"/>
      <c r="L2824" s="1"/>
    </row>
    <row r="2825" spans="1:12" x14ac:dyDescent="0.3">
      <c r="A2825" s="3"/>
      <c r="C2825" s="1"/>
      <c r="E2825" s="1"/>
      <c r="J2825" s="3"/>
      <c r="L2825" s="1"/>
    </row>
    <row r="2826" spans="1:12" x14ac:dyDescent="0.3">
      <c r="A2826" s="3"/>
      <c r="C2826" s="1"/>
      <c r="E2826" s="1"/>
      <c r="J2826" s="3"/>
      <c r="L2826" s="1"/>
    </row>
    <row r="2827" spans="1:12" x14ac:dyDescent="0.3">
      <c r="A2827" s="3"/>
      <c r="C2827" s="1"/>
      <c r="E2827" s="1"/>
      <c r="J2827" s="3"/>
      <c r="L2827" s="1"/>
    </row>
    <row r="2828" spans="1:12" x14ac:dyDescent="0.3">
      <c r="A2828" s="3"/>
      <c r="C2828" s="1"/>
      <c r="E2828" s="1"/>
      <c r="J2828" s="3"/>
      <c r="L2828" s="1"/>
    </row>
    <row r="2829" spans="1:12" x14ac:dyDescent="0.3">
      <c r="A2829" s="3"/>
      <c r="C2829" s="1"/>
      <c r="E2829" s="1"/>
      <c r="J2829" s="3"/>
      <c r="L2829" s="1"/>
    </row>
    <row r="2830" spans="1:12" x14ac:dyDescent="0.3">
      <c r="A2830" s="3"/>
      <c r="C2830" s="1"/>
      <c r="E2830" s="1"/>
      <c r="J2830" s="3"/>
      <c r="L2830" s="1"/>
    </row>
    <row r="2831" spans="1:12" x14ac:dyDescent="0.3">
      <c r="A2831" s="3"/>
      <c r="C2831" s="1"/>
      <c r="E2831" s="1"/>
      <c r="J2831" s="3"/>
      <c r="L2831" s="1"/>
    </row>
    <row r="2832" spans="1:12" x14ac:dyDescent="0.3">
      <c r="A2832" s="3"/>
      <c r="C2832" s="1"/>
      <c r="E2832" s="1"/>
      <c r="J2832" s="3"/>
      <c r="L2832" s="1"/>
    </row>
    <row r="2833" spans="1:12" x14ac:dyDescent="0.3">
      <c r="A2833" s="3"/>
      <c r="C2833" s="1"/>
      <c r="E2833" s="1"/>
      <c r="J2833" s="3"/>
      <c r="L2833" s="1"/>
    </row>
    <row r="2834" spans="1:12" x14ac:dyDescent="0.3">
      <c r="A2834" s="3"/>
      <c r="C2834" s="1"/>
      <c r="E2834" s="1"/>
      <c r="J2834" s="3"/>
      <c r="L2834" s="1"/>
    </row>
    <row r="2835" spans="1:12" x14ac:dyDescent="0.3">
      <c r="A2835" s="3"/>
      <c r="C2835" s="1"/>
      <c r="E2835" s="1"/>
      <c r="J2835" s="3"/>
      <c r="L2835" s="1"/>
    </row>
    <row r="2836" spans="1:12" x14ac:dyDescent="0.3">
      <c r="A2836" s="3"/>
      <c r="C2836" s="1"/>
      <c r="E2836" s="1"/>
      <c r="J2836" s="3"/>
      <c r="L2836" s="1"/>
    </row>
    <row r="2837" spans="1:12" x14ac:dyDescent="0.3">
      <c r="A2837" s="3"/>
      <c r="C2837" s="1"/>
      <c r="E2837" s="1"/>
      <c r="J2837" s="3"/>
      <c r="L2837" s="1"/>
    </row>
    <row r="2838" spans="1:12" x14ac:dyDescent="0.3">
      <c r="A2838" s="3"/>
      <c r="C2838" s="1"/>
      <c r="E2838" s="1"/>
      <c r="J2838" s="3"/>
      <c r="L2838" s="1"/>
    </row>
    <row r="2839" spans="1:12" x14ac:dyDescent="0.3">
      <c r="A2839" s="3"/>
      <c r="C2839" s="1"/>
      <c r="E2839" s="1"/>
      <c r="J2839" s="3"/>
      <c r="L2839" s="1"/>
    </row>
    <row r="2840" spans="1:12" x14ac:dyDescent="0.3">
      <c r="A2840" s="3"/>
      <c r="C2840" s="1"/>
      <c r="E2840" s="1"/>
      <c r="J2840" s="3"/>
      <c r="L2840" s="1"/>
    </row>
    <row r="2841" spans="1:12" x14ac:dyDescent="0.3">
      <c r="A2841" s="3"/>
      <c r="C2841" s="1"/>
      <c r="E2841" s="1"/>
      <c r="J2841" s="3"/>
      <c r="L2841" s="1"/>
    </row>
    <row r="2842" spans="1:12" x14ac:dyDescent="0.3">
      <c r="A2842" s="3"/>
      <c r="C2842" s="1"/>
      <c r="E2842" s="1"/>
      <c r="J2842" s="3"/>
      <c r="L2842" s="1"/>
    </row>
    <row r="2843" spans="1:12" x14ac:dyDescent="0.3">
      <c r="A2843" s="3"/>
      <c r="C2843" s="1"/>
      <c r="E2843" s="1"/>
      <c r="J2843" s="3"/>
      <c r="L2843" s="1"/>
    </row>
    <row r="2844" spans="1:12" x14ac:dyDescent="0.3">
      <c r="A2844" s="3"/>
      <c r="C2844" s="1"/>
      <c r="E2844" s="1"/>
      <c r="J2844" s="3"/>
      <c r="L2844" s="1"/>
    </row>
    <row r="2845" spans="1:12" x14ac:dyDescent="0.3">
      <c r="A2845" s="3"/>
      <c r="C2845" s="1"/>
      <c r="E2845" s="1"/>
      <c r="J2845" s="3"/>
      <c r="L2845" s="1"/>
    </row>
    <row r="2846" spans="1:12" x14ac:dyDescent="0.3">
      <c r="A2846" s="3"/>
      <c r="C2846" s="1"/>
      <c r="E2846" s="1"/>
      <c r="J2846" s="3"/>
      <c r="L2846" s="1"/>
    </row>
    <row r="2847" spans="1:12" x14ac:dyDescent="0.3">
      <c r="A2847" s="3"/>
      <c r="C2847" s="1"/>
      <c r="E2847" s="1"/>
      <c r="J2847" s="3"/>
      <c r="L2847" s="1"/>
    </row>
    <row r="2848" spans="1:12" x14ac:dyDescent="0.3">
      <c r="A2848" s="3"/>
      <c r="C2848" s="1"/>
      <c r="E2848" s="1"/>
      <c r="J2848" s="3"/>
      <c r="L2848" s="1"/>
    </row>
    <row r="2849" spans="1:12" x14ac:dyDescent="0.3">
      <c r="A2849" s="3"/>
      <c r="C2849" s="1"/>
      <c r="E2849" s="1"/>
      <c r="J2849" s="3"/>
      <c r="L2849" s="1"/>
    </row>
    <row r="2850" spans="1:12" x14ac:dyDescent="0.3">
      <c r="A2850" s="3"/>
      <c r="C2850" s="1"/>
      <c r="E2850" s="1"/>
      <c r="J2850" s="3"/>
      <c r="L2850" s="1"/>
    </row>
    <row r="2851" spans="1:12" x14ac:dyDescent="0.3">
      <c r="A2851" s="3"/>
      <c r="C2851" s="1"/>
      <c r="E2851" s="1"/>
      <c r="J2851" s="3"/>
      <c r="L2851" s="1"/>
    </row>
    <row r="2852" spans="1:12" x14ac:dyDescent="0.3">
      <c r="A2852" s="3"/>
      <c r="C2852" s="1"/>
      <c r="E2852" s="1"/>
      <c r="J2852" s="3"/>
      <c r="L2852" s="1"/>
    </row>
    <row r="2853" spans="1:12" x14ac:dyDescent="0.3">
      <c r="A2853" s="3"/>
      <c r="C2853" s="1"/>
      <c r="E2853" s="1"/>
      <c r="J2853" s="3"/>
      <c r="L2853" s="1"/>
    </row>
    <row r="2854" spans="1:12" x14ac:dyDescent="0.3">
      <c r="A2854" s="3"/>
      <c r="C2854" s="1"/>
      <c r="E2854" s="1"/>
      <c r="J2854" s="3"/>
      <c r="L2854" s="1"/>
    </row>
    <row r="2855" spans="1:12" x14ac:dyDescent="0.3">
      <c r="A2855" s="3"/>
      <c r="C2855" s="1"/>
      <c r="E2855" s="1"/>
      <c r="J2855" s="3"/>
      <c r="L2855" s="1"/>
    </row>
    <row r="2856" spans="1:12" x14ac:dyDescent="0.3">
      <c r="A2856" s="3"/>
      <c r="C2856" s="1"/>
      <c r="E2856" s="1"/>
      <c r="J2856" s="3"/>
      <c r="L2856" s="1"/>
    </row>
    <row r="2857" spans="1:12" x14ac:dyDescent="0.3">
      <c r="A2857" s="3"/>
      <c r="C2857" s="1"/>
      <c r="E2857" s="1"/>
      <c r="J2857" s="3"/>
      <c r="L2857" s="1"/>
    </row>
    <row r="2858" spans="1:12" x14ac:dyDescent="0.3">
      <c r="A2858" s="3"/>
      <c r="C2858" s="1"/>
      <c r="E2858" s="1"/>
      <c r="J2858" s="3"/>
      <c r="L2858" s="1"/>
    </row>
    <row r="2859" spans="1:12" x14ac:dyDescent="0.3">
      <c r="A2859" s="3"/>
      <c r="C2859" s="1"/>
      <c r="E2859" s="1"/>
      <c r="J2859" s="3"/>
      <c r="L2859" s="1"/>
    </row>
    <row r="2860" spans="1:12" x14ac:dyDescent="0.3">
      <c r="A2860" s="3"/>
      <c r="C2860" s="1"/>
      <c r="E2860" s="1"/>
      <c r="J2860" s="3"/>
      <c r="L2860" s="1"/>
    </row>
    <row r="2861" spans="1:12" x14ac:dyDescent="0.3">
      <c r="A2861" s="3"/>
      <c r="C2861" s="1"/>
      <c r="E2861" s="1"/>
      <c r="J2861" s="3"/>
      <c r="L2861" s="1"/>
    </row>
    <row r="2862" spans="1:12" x14ac:dyDescent="0.3">
      <c r="A2862" s="3"/>
      <c r="C2862" s="1"/>
      <c r="E2862" s="1"/>
      <c r="J2862" s="3"/>
      <c r="L2862" s="1"/>
    </row>
    <row r="2863" spans="1:12" x14ac:dyDescent="0.3">
      <c r="A2863" s="3"/>
      <c r="C2863" s="1"/>
      <c r="E2863" s="1"/>
      <c r="J2863" s="3"/>
      <c r="L2863" s="1"/>
    </row>
    <row r="2864" spans="1:12" x14ac:dyDescent="0.3">
      <c r="A2864" s="3"/>
      <c r="C2864" s="1"/>
      <c r="E2864" s="1"/>
      <c r="J2864" s="3"/>
      <c r="L2864" s="1"/>
    </row>
    <row r="2865" spans="1:12" x14ac:dyDescent="0.3">
      <c r="A2865" s="3"/>
      <c r="C2865" s="1"/>
      <c r="E2865" s="1"/>
      <c r="J2865" s="3"/>
      <c r="L2865" s="1"/>
    </row>
    <row r="2866" spans="1:12" x14ac:dyDescent="0.3">
      <c r="A2866" s="3"/>
      <c r="C2866" s="1"/>
      <c r="E2866" s="1"/>
      <c r="J2866" s="3"/>
      <c r="L2866" s="1"/>
    </row>
    <row r="2867" spans="1:12" x14ac:dyDescent="0.3">
      <c r="A2867" s="3"/>
      <c r="C2867" s="1"/>
      <c r="E2867" s="1"/>
      <c r="J2867" s="3"/>
      <c r="L2867" s="1"/>
    </row>
    <row r="2868" spans="1:12" x14ac:dyDescent="0.3">
      <c r="A2868" s="3"/>
      <c r="C2868" s="1"/>
      <c r="E2868" s="1"/>
      <c r="J2868" s="3"/>
      <c r="L2868" s="1"/>
    </row>
    <row r="2869" spans="1:12" x14ac:dyDescent="0.3">
      <c r="A2869" s="3"/>
      <c r="C2869" s="1"/>
      <c r="E2869" s="1"/>
      <c r="J2869" s="3"/>
      <c r="L2869" s="1"/>
    </row>
    <row r="2870" spans="1:12" x14ac:dyDescent="0.3">
      <c r="A2870" s="3"/>
      <c r="C2870" s="1"/>
      <c r="E2870" s="1"/>
      <c r="J2870" s="3"/>
      <c r="L2870" s="1"/>
    </row>
    <row r="2871" spans="1:12" x14ac:dyDescent="0.3">
      <c r="A2871" s="3"/>
      <c r="C2871" s="1"/>
      <c r="E2871" s="1"/>
      <c r="J2871" s="3"/>
      <c r="L2871" s="1"/>
    </row>
    <row r="2872" spans="1:12" x14ac:dyDescent="0.3">
      <c r="A2872" s="3"/>
      <c r="C2872" s="1"/>
      <c r="E2872" s="1"/>
      <c r="J2872" s="3"/>
      <c r="L2872" s="1"/>
    </row>
    <row r="2873" spans="1:12" x14ac:dyDescent="0.3">
      <c r="A2873" s="3"/>
      <c r="C2873" s="1"/>
      <c r="E2873" s="1"/>
      <c r="J2873" s="3"/>
      <c r="L2873" s="1"/>
    </row>
    <row r="2874" spans="1:12" x14ac:dyDescent="0.3">
      <c r="A2874" s="3"/>
      <c r="C2874" s="1"/>
      <c r="E2874" s="1"/>
      <c r="J2874" s="3"/>
      <c r="L2874" s="1"/>
    </row>
    <row r="2875" spans="1:12" x14ac:dyDescent="0.3">
      <c r="A2875" s="3"/>
      <c r="C2875" s="1"/>
      <c r="E2875" s="1"/>
      <c r="J2875" s="3"/>
      <c r="L2875" s="1"/>
    </row>
    <row r="2876" spans="1:12" x14ac:dyDescent="0.3">
      <c r="A2876" s="3"/>
      <c r="C2876" s="1"/>
      <c r="E2876" s="1"/>
      <c r="J2876" s="3"/>
      <c r="L2876" s="1"/>
    </row>
    <row r="2877" spans="1:12" x14ac:dyDescent="0.3">
      <c r="A2877" s="3"/>
      <c r="C2877" s="1"/>
      <c r="E2877" s="1"/>
      <c r="J2877" s="3"/>
      <c r="L2877" s="1"/>
    </row>
    <row r="2878" spans="1:12" x14ac:dyDescent="0.3">
      <c r="A2878" s="3"/>
      <c r="C2878" s="1"/>
      <c r="E2878" s="1"/>
      <c r="J2878" s="3"/>
      <c r="L2878" s="1"/>
    </row>
    <row r="2879" spans="1:12" x14ac:dyDescent="0.3">
      <c r="A2879" s="3"/>
      <c r="C2879" s="1"/>
      <c r="E2879" s="1"/>
      <c r="J2879" s="3"/>
      <c r="L2879" s="1"/>
    </row>
    <row r="2880" spans="1:12" x14ac:dyDescent="0.3">
      <c r="A2880" s="3"/>
      <c r="C2880" s="1"/>
      <c r="E2880" s="1"/>
      <c r="J2880" s="3"/>
      <c r="L2880" s="1"/>
    </row>
    <row r="2881" spans="1:12" x14ac:dyDescent="0.3">
      <c r="A2881" s="3"/>
      <c r="C2881" s="1"/>
      <c r="E2881" s="1"/>
      <c r="J2881" s="3"/>
      <c r="L2881" s="1"/>
    </row>
    <row r="2882" spans="1:12" x14ac:dyDescent="0.3">
      <c r="A2882" s="3"/>
      <c r="C2882" s="1"/>
      <c r="E2882" s="1"/>
      <c r="J2882" s="3"/>
      <c r="L2882" s="1"/>
    </row>
    <row r="2883" spans="1:12" x14ac:dyDescent="0.3">
      <c r="A2883" s="3"/>
      <c r="C2883" s="1"/>
      <c r="E2883" s="1"/>
      <c r="J2883" s="3"/>
      <c r="L2883" s="1"/>
    </row>
    <row r="2884" spans="1:12" x14ac:dyDescent="0.3">
      <c r="A2884" s="3"/>
      <c r="C2884" s="1"/>
      <c r="E2884" s="1"/>
      <c r="J2884" s="3"/>
      <c r="L2884" s="1"/>
    </row>
    <row r="2885" spans="1:12" x14ac:dyDescent="0.3">
      <c r="A2885" s="3"/>
      <c r="C2885" s="1"/>
      <c r="E2885" s="1"/>
      <c r="J2885" s="3"/>
      <c r="L2885" s="1"/>
    </row>
    <row r="2886" spans="1:12" x14ac:dyDescent="0.3">
      <c r="A2886" s="3"/>
      <c r="C2886" s="1"/>
      <c r="E2886" s="1"/>
      <c r="J2886" s="3"/>
      <c r="L2886" s="1"/>
    </row>
    <row r="2887" spans="1:12" x14ac:dyDescent="0.3">
      <c r="A2887" s="3"/>
      <c r="C2887" s="1"/>
      <c r="E2887" s="1"/>
      <c r="J2887" s="3"/>
      <c r="L2887" s="1"/>
    </row>
    <row r="2888" spans="1:12" x14ac:dyDescent="0.3">
      <c r="A2888" s="3"/>
      <c r="C2888" s="1"/>
      <c r="E2888" s="1"/>
      <c r="J2888" s="3"/>
      <c r="L2888" s="1"/>
    </row>
    <row r="2889" spans="1:12" x14ac:dyDescent="0.3">
      <c r="A2889" s="3"/>
      <c r="C2889" s="1"/>
      <c r="E2889" s="1"/>
      <c r="J2889" s="3"/>
      <c r="L2889" s="1"/>
    </row>
    <row r="2890" spans="1:12" x14ac:dyDescent="0.3">
      <c r="A2890" s="3"/>
      <c r="C2890" s="1"/>
      <c r="E2890" s="1"/>
      <c r="J2890" s="3"/>
      <c r="L2890" s="1"/>
    </row>
    <row r="2891" spans="1:12" x14ac:dyDescent="0.3">
      <c r="A2891" s="3"/>
      <c r="C2891" s="1"/>
      <c r="E2891" s="1"/>
      <c r="J2891" s="3"/>
      <c r="L2891" s="1"/>
    </row>
    <row r="2892" spans="1:12" x14ac:dyDescent="0.3">
      <c r="A2892" s="3"/>
      <c r="C2892" s="1"/>
      <c r="E2892" s="1"/>
      <c r="J2892" s="3"/>
      <c r="L2892" s="1"/>
    </row>
    <row r="2893" spans="1:12" x14ac:dyDescent="0.3">
      <c r="A2893" s="3"/>
      <c r="C2893" s="1"/>
      <c r="E2893" s="1"/>
      <c r="J2893" s="3"/>
      <c r="L2893" s="1"/>
    </row>
    <row r="2894" spans="1:12" x14ac:dyDescent="0.3">
      <c r="A2894" s="3"/>
      <c r="C2894" s="1"/>
      <c r="E2894" s="1"/>
      <c r="J2894" s="3"/>
      <c r="L2894" s="1"/>
    </row>
    <row r="2895" spans="1:12" x14ac:dyDescent="0.3">
      <c r="A2895" s="3"/>
      <c r="C2895" s="1"/>
      <c r="E2895" s="1"/>
      <c r="J2895" s="3"/>
      <c r="L2895" s="1"/>
    </row>
    <row r="2896" spans="1:12" x14ac:dyDescent="0.3">
      <c r="A2896" s="3"/>
      <c r="C2896" s="1"/>
      <c r="E2896" s="1"/>
      <c r="J2896" s="3"/>
      <c r="L2896" s="1"/>
    </row>
    <row r="2897" spans="1:12" x14ac:dyDescent="0.3">
      <c r="A2897" s="3"/>
      <c r="C2897" s="1"/>
      <c r="E2897" s="1"/>
      <c r="J2897" s="3"/>
      <c r="L2897" s="1"/>
    </row>
    <row r="2898" spans="1:12" x14ac:dyDescent="0.3">
      <c r="A2898" s="3"/>
      <c r="C2898" s="1"/>
      <c r="E2898" s="1"/>
      <c r="J2898" s="3"/>
      <c r="L2898" s="1"/>
    </row>
    <row r="2899" spans="1:12" x14ac:dyDescent="0.3">
      <c r="A2899" s="3"/>
      <c r="C2899" s="1"/>
      <c r="E2899" s="1"/>
      <c r="J2899" s="3"/>
      <c r="L2899" s="1"/>
    </row>
    <row r="2900" spans="1:12" x14ac:dyDescent="0.3">
      <c r="A2900" s="3"/>
      <c r="C2900" s="1"/>
      <c r="E2900" s="1"/>
      <c r="J2900" s="3"/>
      <c r="L2900" s="1"/>
    </row>
    <row r="2901" spans="1:12" x14ac:dyDescent="0.3">
      <c r="A2901" s="3"/>
      <c r="C2901" s="1"/>
      <c r="E2901" s="1"/>
      <c r="J2901" s="3"/>
      <c r="L2901" s="1"/>
    </row>
    <row r="2902" spans="1:12" x14ac:dyDescent="0.3">
      <c r="A2902" s="3"/>
      <c r="C2902" s="1"/>
      <c r="E2902" s="1"/>
      <c r="J2902" s="3"/>
      <c r="L2902" s="1"/>
    </row>
    <row r="2903" spans="1:12" x14ac:dyDescent="0.3">
      <c r="A2903" s="3"/>
      <c r="C2903" s="1"/>
      <c r="E2903" s="1"/>
      <c r="J2903" s="3"/>
      <c r="L2903" s="1"/>
    </row>
    <row r="2904" spans="1:12" x14ac:dyDescent="0.3">
      <c r="A2904" s="3"/>
      <c r="C2904" s="1"/>
      <c r="E2904" s="1"/>
      <c r="J2904" s="3"/>
      <c r="L2904" s="1"/>
    </row>
    <row r="2905" spans="1:12" x14ac:dyDescent="0.3">
      <c r="A2905" s="3"/>
      <c r="C2905" s="1"/>
      <c r="E2905" s="1"/>
      <c r="J2905" s="3"/>
      <c r="L2905" s="1"/>
    </row>
    <row r="2906" spans="1:12" x14ac:dyDescent="0.3">
      <c r="A2906" s="3"/>
      <c r="C2906" s="1"/>
      <c r="E2906" s="1"/>
      <c r="J2906" s="3"/>
      <c r="L2906" s="1"/>
    </row>
    <row r="2907" spans="1:12" x14ac:dyDescent="0.3">
      <c r="A2907" s="3"/>
      <c r="C2907" s="1"/>
      <c r="E2907" s="1"/>
      <c r="J2907" s="3"/>
      <c r="L2907" s="1"/>
    </row>
    <row r="2908" spans="1:12" x14ac:dyDescent="0.3">
      <c r="A2908" s="3"/>
      <c r="C2908" s="1"/>
      <c r="E2908" s="1"/>
      <c r="J2908" s="3"/>
      <c r="L2908" s="1"/>
    </row>
    <row r="2909" spans="1:12" x14ac:dyDescent="0.3">
      <c r="A2909" s="3"/>
      <c r="C2909" s="1"/>
      <c r="E2909" s="1"/>
      <c r="J2909" s="3"/>
      <c r="L2909" s="1"/>
    </row>
    <row r="2910" spans="1:12" x14ac:dyDescent="0.3">
      <c r="A2910" s="3"/>
      <c r="C2910" s="1"/>
      <c r="E2910" s="1"/>
      <c r="J2910" s="3"/>
      <c r="L2910" s="1"/>
    </row>
    <row r="2911" spans="1:12" x14ac:dyDescent="0.3">
      <c r="A2911" s="3"/>
      <c r="C2911" s="1"/>
      <c r="E2911" s="1"/>
      <c r="J2911" s="3"/>
      <c r="L2911" s="1"/>
    </row>
    <row r="2912" spans="1:12" x14ac:dyDescent="0.3">
      <c r="A2912" s="3"/>
      <c r="C2912" s="1"/>
      <c r="E2912" s="1"/>
      <c r="J2912" s="3"/>
      <c r="L2912" s="1"/>
    </row>
    <row r="2913" spans="1:12" x14ac:dyDescent="0.3">
      <c r="A2913" s="3"/>
      <c r="C2913" s="1"/>
      <c r="E2913" s="1"/>
      <c r="J2913" s="3"/>
      <c r="L2913" s="1"/>
    </row>
    <row r="2914" spans="1:12" x14ac:dyDescent="0.3">
      <c r="A2914" s="3"/>
      <c r="C2914" s="1"/>
      <c r="E2914" s="1"/>
      <c r="J2914" s="3"/>
      <c r="L2914" s="1"/>
    </row>
    <row r="2915" spans="1:12" x14ac:dyDescent="0.3">
      <c r="A2915" s="3"/>
      <c r="C2915" s="1"/>
      <c r="E2915" s="1"/>
      <c r="J2915" s="3"/>
      <c r="L2915" s="1"/>
    </row>
    <row r="2916" spans="1:12" x14ac:dyDescent="0.3">
      <c r="A2916" s="3"/>
      <c r="C2916" s="1"/>
      <c r="E2916" s="1"/>
      <c r="J2916" s="3"/>
      <c r="L2916" s="1"/>
    </row>
    <row r="2917" spans="1:12" x14ac:dyDescent="0.3">
      <c r="A2917" s="3"/>
      <c r="C2917" s="1"/>
      <c r="E2917" s="1"/>
      <c r="J2917" s="3"/>
      <c r="L2917" s="1"/>
    </row>
    <row r="2918" spans="1:12" x14ac:dyDescent="0.3">
      <c r="A2918" s="3"/>
      <c r="C2918" s="1"/>
      <c r="E2918" s="1"/>
      <c r="J2918" s="3"/>
      <c r="L2918" s="1"/>
    </row>
    <row r="2919" spans="1:12" x14ac:dyDescent="0.3">
      <c r="A2919" s="3"/>
      <c r="C2919" s="1"/>
      <c r="E2919" s="1"/>
      <c r="J2919" s="3"/>
      <c r="L2919" s="1"/>
    </row>
    <row r="2920" spans="1:12" x14ac:dyDescent="0.3">
      <c r="A2920" s="3"/>
      <c r="C2920" s="1"/>
      <c r="E2920" s="1"/>
      <c r="J2920" s="3"/>
      <c r="L2920" s="1"/>
    </row>
    <row r="2921" spans="1:12" x14ac:dyDescent="0.3">
      <c r="A2921" s="3"/>
      <c r="C2921" s="1"/>
      <c r="E2921" s="1"/>
      <c r="J2921" s="3"/>
      <c r="L2921" s="1"/>
    </row>
    <row r="2922" spans="1:12" x14ac:dyDescent="0.3">
      <c r="A2922" s="3"/>
      <c r="C2922" s="1"/>
      <c r="E2922" s="1"/>
      <c r="J2922" s="3"/>
      <c r="L2922" s="1"/>
    </row>
    <row r="2923" spans="1:12" x14ac:dyDescent="0.3">
      <c r="A2923" s="3"/>
      <c r="C2923" s="1"/>
      <c r="E2923" s="1"/>
      <c r="J2923" s="3"/>
      <c r="L2923" s="1"/>
    </row>
    <row r="2924" spans="1:12" x14ac:dyDescent="0.3">
      <c r="A2924" s="3"/>
      <c r="C2924" s="1"/>
      <c r="E2924" s="1"/>
      <c r="J2924" s="3"/>
      <c r="L2924" s="1"/>
    </row>
    <row r="2925" spans="1:12" x14ac:dyDescent="0.3">
      <c r="A2925" s="3"/>
      <c r="C2925" s="1"/>
      <c r="E2925" s="1"/>
      <c r="J2925" s="3"/>
      <c r="L2925" s="1"/>
    </row>
    <row r="2926" spans="1:12" x14ac:dyDescent="0.3">
      <c r="A2926" s="3"/>
      <c r="C2926" s="1"/>
      <c r="E2926" s="1"/>
      <c r="J2926" s="3"/>
      <c r="L2926" s="1"/>
    </row>
    <row r="2927" spans="1:12" x14ac:dyDescent="0.3">
      <c r="A2927" s="3"/>
      <c r="C2927" s="1"/>
      <c r="E2927" s="1"/>
      <c r="J2927" s="3"/>
      <c r="L2927" s="1"/>
    </row>
    <row r="2928" spans="1:12" x14ac:dyDescent="0.3">
      <c r="A2928" s="3"/>
      <c r="C2928" s="1"/>
      <c r="E2928" s="1"/>
      <c r="J2928" s="3"/>
      <c r="L2928" s="1"/>
    </row>
    <row r="2929" spans="1:12" x14ac:dyDescent="0.3">
      <c r="A2929" s="3"/>
      <c r="C2929" s="1"/>
      <c r="E2929" s="1"/>
      <c r="J2929" s="3"/>
      <c r="L2929" s="1"/>
    </row>
    <row r="2930" spans="1:12" x14ac:dyDescent="0.3">
      <c r="A2930" s="3"/>
      <c r="C2930" s="1"/>
      <c r="E2930" s="1"/>
      <c r="J2930" s="3"/>
      <c r="L2930" s="1"/>
    </row>
    <row r="2931" spans="1:12" x14ac:dyDescent="0.3">
      <c r="A2931" s="3"/>
      <c r="C2931" s="1"/>
      <c r="E2931" s="1"/>
      <c r="J2931" s="3"/>
      <c r="L2931" s="1"/>
    </row>
    <row r="2932" spans="1:12" x14ac:dyDescent="0.3">
      <c r="A2932" s="3"/>
      <c r="C2932" s="1"/>
      <c r="E2932" s="1"/>
      <c r="J2932" s="3"/>
      <c r="L2932" s="1"/>
    </row>
    <row r="2933" spans="1:12" x14ac:dyDescent="0.3">
      <c r="A2933" s="3"/>
      <c r="C2933" s="1"/>
      <c r="E2933" s="1"/>
      <c r="J2933" s="3"/>
      <c r="L2933" s="1"/>
    </row>
    <row r="2934" spans="1:12" x14ac:dyDescent="0.3">
      <c r="A2934" s="3"/>
      <c r="C2934" s="1"/>
      <c r="E2934" s="1"/>
      <c r="J2934" s="3"/>
      <c r="L2934" s="1"/>
    </row>
    <row r="2935" spans="1:12" x14ac:dyDescent="0.3">
      <c r="A2935" s="3"/>
      <c r="C2935" s="1"/>
      <c r="E2935" s="1"/>
      <c r="J2935" s="3"/>
      <c r="L2935" s="1"/>
    </row>
    <row r="2936" spans="1:12" x14ac:dyDescent="0.3">
      <c r="A2936" s="3"/>
      <c r="C2936" s="1"/>
      <c r="E2936" s="1"/>
      <c r="J2936" s="3"/>
      <c r="L2936" s="1"/>
    </row>
    <row r="2937" spans="1:12" x14ac:dyDescent="0.3">
      <c r="A2937" s="3"/>
      <c r="C2937" s="1"/>
      <c r="E2937" s="1"/>
      <c r="J2937" s="3"/>
      <c r="L2937" s="1"/>
    </row>
    <row r="2938" spans="1:12" x14ac:dyDescent="0.3">
      <c r="A2938" s="3"/>
      <c r="C2938" s="1"/>
      <c r="E2938" s="1"/>
      <c r="J2938" s="3"/>
      <c r="L2938" s="1"/>
    </row>
    <row r="2939" spans="1:12" x14ac:dyDescent="0.3">
      <c r="A2939" s="3"/>
      <c r="C2939" s="1"/>
      <c r="E2939" s="1"/>
      <c r="J2939" s="3"/>
      <c r="L2939" s="1"/>
    </row>
    <row r="2940" spans="1:12" x14ac:dyDescent="0.3">
      <c r="A2940" s="3"/>
      <c r="C2940" s="1"/>
      <c r="E2940" s="1"/>
      <c r="J2940" s="3"/>
      <c r="L2940" s="1"/>
    </row>
    <row r="2941" spans="1:12" x14ac:dyDescent="0.3">
      <c r="A2941" s="3"/>
      <c r="C2941" s="1"/>
      <c r="E2941" s="1"/>
      <c r="J2941" s="3"/>
      <c r="L2941" s="1"/>
    </row>
    <row r="2942" spans="1:12" x14ac:dyDescent="0.3">
      <c r="A2942" s="3"/>
      <c r="C2942" s="1"/>
      <c r="E2942" s="1"/>
      <c r="J2942" s="3"/>
      <c r="L2942" s="1"/>
    </row>
    <row r="2943" spans="1:12" x14ac:dyDescent="0.3">
      <c r="A2943" s="3"/>
      <c r="C2943" s="1"/>
      <c r="E2943" s="1"/>
      <c r="J2943" s="3"/>
      <c r="L2943" s="1"/>
    </row>
    <row r="2944" spans="1:12" x14ac:dyDescent="0.3">
      <c r="A2944" s="3"/>
      <c r="C2944" s="1"/>
      <c r="E2944" s="1"/>
      <c r="J2944" s="3"/>
      <c r="L2944" s="1"/>
    </row>
    <row r="2945" spans="1:12" x14ac:dyDescent="0.3">
      <c r="A2945" s="3"/>
      <c r="C2945" s="1"/>
      <c r="E2945" s="1"/>
      <c r="J2945" s="3"/>
      <c r="L2945" s="1"/>
    </row>
    <row r="2946" spans="1:12" x14ac:dyDescent="0.3">
      <c r="A2946" s="3"/>
      <c r="C2946" s="1"/>
      <c r="E2946" s="1"/>
      <c r="J2946" s="3"/>
      <c r="L2946" s="1"/>
    </row>
    <row r="2947" spans="1:12" x14ac:dyDescent="0.3">
      <c r="A2947" s="3"/>
      <c r="C2947" s="1"/>
      <c r="E2947" s="1"/>
      <c r="J2947" s="3"/>
      <c r="L2947" s="1"/>
    </row>
    <row r="2948" spans="1:12" x14ac:dyDescent="0.3">
      <c r="A2948" s="3"/>
      <c r="C2948" s="1"/>
      <c r="E2948" s="1"/>
      <c r="J2948" s="3"/>
      <c r="L2948" s="1"/>
    </row>
    <row r="2949" spans="1:12" x14ac:dyDescent="0.3">
      <c r="A2949" s="3"/>
      <c r="C2949" s="1"/>
      <c r="E2949" s="1"/>
      <c r="J2949" s="3"/>
      <c r="L2949" s="1"/>
    </row>
    <row r="2950" spans="1:12" x14ac:dyDescent="0.3">
      <c r="A2950" s="3"/>
      <c r="C2950" s="1"/>
      <c r="E2950" s="1"/>
      <c r="J2950" s="3"/>
      <c r="L2950" s="1"/>
    </row>
    <row r="2951" spans="1:12" x14ac:dyDescent="0.3">
      <c r="A2951" s="3"/>
      <c r="C2951" s="1"/>
      <c r="E2951" s="1"/>
      <c r="J2951" s="3"/>
      <c r="L2951" s="1"/>
    </row>
    <row r="2952" spans="1:12" x14ac:dyDescent="0.3">
      <c r="A2952" s="3"/>
      <c r="C2952" s="1"/>
      <c r="E2952" s="1"/>
      <c r="J2952" s="3"/>
      <c r="L2952" s="1"/>
    </row>
    <row r="2953" spans="1:12" x14ac:dyDescent="0.3">
      <c r="A2953" s="3"/>
      <c r="C2953" s="1"/>
      <c r="E2953" s="1"/>
      <c r="J2953" s="3"/>
      <c r="L2953" s="1"/>
    </row>
    <row r="2954" spans="1:12" x14ac:dyDescent="0.3">
      <c r="A2954" s="3"/>
      <c r="C2954" s="1"/>
      <c r="E2954" s="1"/>
      <c r="J2954" s="3"/>
      <c r="L2954" s="1"/>
    </row>
    <row r="2955" spans="1:12" x14ac:dyDescent="0.3">
      <c r="A2955" s="3"/>
      <c r="C2955" s="1"/>
      <c r="E2955" s="1"/>
      <c r="J2955" s="3"/>
      <c r="L2955" s="1"/>
    </row>
    <row r="2956" spans="1:12" x14ac:dyDescent="0.3">
      <c r="A2956" s="3"/>
      <c r="C2956" s="1"/>
      <c r="E2956" s="1"/>
      <c r="J2956" s="3"/>
      <c r="L2956" s="1"/>
    </row>
    <row r="2957" spans="1:12" x14ac:dyDescent="0.3">
      <c r="A2957" s="3"/>
      <c r="C2957" s="1"/>
      <c r="E2957" s="1"/>
      <c r="J2957" s="3"/>
      <c r="L2957" s="1"/>
    </row>
    <row r="2958" spans="1:12" x14ac:dyDescent="0.3">
      <c r="A2958" s="3"/>
      <c r="C2958" s="1"/>
      <c r="E2958" s="1"/>
      <c r="J2958" s="3"/>
      <c r="L2958" s="1"/>
    </row>
    <row r="2959" spans="1:12" x14ac:dyDescent="0.3">
      <c r="A2959" s="3"/>
      <c r="C2959" s="1"/>
      <c r="E2959" s="1"/>
      <c r="J2959" s="3"/>
      <c r="L2959" s="1"/>
    </row>
    <row r="2960" spans="1:12" x14ac:dyDescent="0.3">
      <c r="A2960" s="3"/>
      <c r="C2960" s="1"/>
      <c r="E2960" s="1"/>
      <c r="J2960" s="3"/>
      <c r="L2960" s="1"/>
    </row>
    <row r="2961" spans="1:12" x14ac:dyDescent="0.3">
      <c r="A2961" s="3"/>
      <c r="C2961" s="1"/>
      <c r="E2961" s="1"/>
      <c r="J2961" s="3"/>
      <c r="L2961" s="1"/>
    </row>
    <row r="2962" spans="1:12" x14ac:dyDescent="0.3">
      <c r="A2962" s="3"/>
      <c r="C2962" s="1"/>
      <c r="E2962" s="1"/>
      <c r="J2962" s="3"/>
      <c r="L2962" s="1"/>
    </row>
    <row r="2963" spans="1:12" x14ac:dyDescent="0.3">
      <c r="A2963" s="3"/>
      <c r="C2963" s="1"/>
      <c r="E2963" s="1"/>
      <c r="J2963" s="3"/>
      <c r="L2963" s="1"/>
    </row>
    <row r="2964" spans="1:12" x14ac:dyDescent="0.3">
      <c r="A2964" s="3"/>
      <c r="C2964" s="1"/>
      <c r="E2964" s="1"/>
      <c r="J2964" s="3"/>
      <c r="L2964" s="1"/>
    </row>
    <row r="2965" spans="1:12" x14ac:dyDescent="0.3">
      <c r="A2965" s="3"/>
      <c r="C2965" s="1"/>
      <c r="E2965" s="1"/>
      <c r="J2965" s="3"/>
      <c r="L2965" s="1"/>
    </row>
    <row r="2966" spans="1:12" x14ac:dyDescent="0.3">
      <c r="A2966" s="3"/>
      <c r="C2966" s="1"/>
      <c r="E2966" s="1"/>
      <c r="J2966" s="3"/>
      <c r="L2966" s="1"/>
    </row>
    <row r="2967" spans="1:12" x14ac:dyDescent="0.3">
      <c r="A2967" s="3"/>
      <c r="C2967" s="1"/>
      <c r="E2967" s="1"/>
      <c r="J2967" s="3"/>
      <c r="L2967" s="1"/>
    </row>
    <row r="2968" spans="1:12" x14ac:dyDescent="0.3">
      <c r="A2968" s="3"/>
      <c r="C2968" s="1"/>
      <c r="E2968" s="1"/>
      <c r="J2968" s="3"/>
      <c r="L2968" s="1"/>
    </row>
    <row r="2969" spans="1:12" x14ac:dyDescent="0.3">
      <c r="A2969" s="3"/>
      <c r="C2969" s="1"/>
      <c r="E2969" s="1"/>
      <c r="J2969" s="3"/>
      <c r="L2969" s="1"/>
    </row>
    <row r="2970" spans="1:12" x14ac:dyDescent="0.3">
      <c r="A2970" s="3"/>
      <c r="C2970" s="1"/>
      <c r="E2970" s="1"/>
      <c r="J2970" s="3"/>
      <c r="L2970" s="1"/>
    </row>
    <row r="2971" spans="1:12" x14ac:dyDescent="0.3">
      <c r="A2971" s="3"/>
      <c r="C2971" s="1"/>
      <c r="E2971" s="1"/>
      <c r="J2971" s="3"/>
      <c r="L2971" s="1"/>
    </row>
    <row r="2972" spans="1:12" x14ac:dyDescent="0.3">
      <c r="A2972" s="3"/>
      <c r="C2972" s="1"/>
      <c r="E2972" s="1"/>
      <c r="J2972" s="3"/>
      <c r="L2972" s="1"/>
    </row>
    <row r="2973" spans="1:12" x14ac:dyDescent="0.3">
      <c r="A2973" s="3"/>
      <c r="C2973" s="1"/>
      <c r="E2973" s="1"/>
      <c r="J2973" s="3"/>
      <c r="L2973" s="1"/>
    </row>
    <row r="2974" spans="1:12" x14ac:dyDescent="0.3">
      <c r="A2974" s="3"/>
      <c r="C2974" s="1"/>
      <c r="E2974" s="1"/>
      <c r="J2974" s="3"/>
      <c r="L2974" s="1"/>
    </row>
    <row r="2975" spans="1:12" x14ac:dyDescent="0.3">
      <c r="A2975" s="3"/>
      <c r="C2975" s="1"/>
      <c r="E2975" s="1"/>
      <c r="J2975" s="3"/>
      <c r="L2975" s="1"/>
    </row>
    <row r="2976" spans="1:12" x14ac:dyDescent="0.3">
      <c r="A2976" s="3"/>
      <c r="C2976" s="1"/>
      <c r="E2976" s="1"/>
      <c r="J2976" s="3"/>
      <c r="L2976" s="1"/>
    </row>
    <row r="2977" spans="1:12" x14ac:dyDescent="0.3">
      <c r="A2977" s="3"/>
      <c r="C2977" s="1"/>
      <c r="E2977" s="1"/>
      <c r="J2977" s="3"/>
      <c r="L2977" s="1"/>
    </row>
    <row r="2978" spans="1:12" x14ac:dyDescent="0.3">
      <c r="A2978" s="3"/>
      <c r="C2978" s="1"/>
      <c r="E2978" s="1"/>
      <c r="J2978" s="3"/>
      <c r="L2978" s="1"/>
    </row>
    <row r="2979" spans="1:12" x14ac:dyDescent="0.3">
      <c r="A2979" s="3"/>
      <c r="C2979" s="1"/>
      <c r="E2979" s="1"/>
      <c r="J2979" s="3"/>
      <c r="L2979" s="1"/>
    </row>
    <row r="2980" spans="1:12" x14ac:dyDescent="0.3">
      <c r="A2980" s="3"/>
      <c r="C2980" s="1"/>
      <c r="E2980" s="1"/>
      <c r="J2980" s="3"/>
      <c r="L2980" s="1"/>
    </row>
    <row r="2981" spans="1:12" x14ac:dyDescent="0.3">
      <c r="A2981" s="3"/>
      <c r="C2981" s="1"/>
      <c r="E2981" s="1"/>
      <c r="J2981" s="3"/>
      <c r="L2981" s="1"/>
    </row>
    <row r="2982" spans="1:12" x14ac:dyDescent="0.3">
      <c r="A2982" s="3"/>
      <c r="C2982" s="1"/>
      <c r="E2982" s="1"/>
      <c r="J2982" s="3"/>
      <c r="L2982" s="1"/>
    </row>
    <row r="2983" spans="1:12" x14ac:dyDescent="0.3">
      <c r="A2983" s="3"/>
      <c r="C2983" s="1"/>
      <c r="E2983" s="1"/>
      <c r="J2983" s="3"/>
      <c r="L2983" s="1"/>
    </row>
    <row r="2984" spans="1:12" x14ac:dyDescent="0.3">
      <c r="A2984" s="3"/>
      <c r="C2984" s="1"/>
      <c r="E2984" s="1"/>
      <c r="J2984" s="3"/>
      <c r="L2984" s="1"/>
    </row>
    <row r="2985" spans="1:12" x14ac:dyDescent="0.3">
      <c r="A2985" s="3"/>
      <c r="C2985" s="1"/>
      <c r="E2985" s="1"/>
      <c r="J2985" s="3"/>
      <c r="L2985" s="1"/>
    </row>
    <row r="2986" spans="1:12" x14ac:dyDescent="0.3">
      <c r="A2986" s="3"/>
      <c r="C2986" s="1"/>
      <c r="E2986" s="1"/>
      <c r="J2986" s="3"/>
      <c r="L2986" s="1"/>
    </row>
    <row r="2987" spans="1:12" x14ac:dyDescent="0.3">
      <c r="A2987" s="3"/>
      <c r="C2987" s="1"/>
      <c r="E2987" s="1"/>
      <c r="J2987" s="3"/>
      <c r="L2987" s="1"/>
    </row>
    <row r="2988" spans="1:12" x14ac:dyDescent="0.3">
      <c r="A2988" s="3"/>
      <c r="C2988" s="1"/>
      <c r="E2988" s="1"/>
      <c r="J2988" s="3"/>
      <c r="L2988" s="1"/>
    </row>
    <row r="2989" spans="1:12" x14ac:dyDescent="0.3">
      <c r="A2989" s="3"/>
      <c r="C2989" s="1"/>
      <c r="E2989" s="1"/>
      <c r="J2989" s="3"/>
      <c r="L2989" s="1"/>
    </row>
    <row r="2990" spans="1:12" x14ac:dyDescent="0.3">
      <c r="A2990" s="3"/>
      <c r="C2990" s="1"/>
      <c r="E2990" s="1"/>
      <c r="J2990" s="3"/>
      <c r="L2990" s="1"/>
    </row>
    <row r="2991" spans="1:12" x14ac:dyDescent="0.3">
      <c r="A2991" s="3"/>
      <c r="C2991" s="1"/>
      <c r="E2991" s="1"/>
      <c r="J2991" s="3"/>
      <c r="L2991" s="1"/>
    </row>
    <row r="2992" spans="1:12" x14ac:dyDescent="0.3">
      <c r="A2992" s="3"/>
      <c r="C2992" s="1"/>
      <c r="E2992" s="1"/>
      <c r="J2992" s="3"/>
      <c r="L2992" s="1"/>
    </row>
    <row r="2993" spans="1:12" x14ac:dyDescent="0.3">
      <c r="A2993" s="3"/>
      <c r="C2993" s="1"/>
      <c r="E2993" s="1"/>
      <c r="J2993" s="3"/>
      <c r="L2993" s="1"/>
    </row>
    <row r="2994" spans="1:12" x14ac:dyDescent="0.3">
      <c r="A2994" s="3"/>
      <c r="C2994" s="1"/>
      <c r="E2994" s="1"/>
      <c r="J2994" s="3"/>
      <c r="L2994" s="1"/>
    </row>
    <row r="2995" spans="1:12" x14ac:dyDescent="0.3">
      <c r="A2995" s="3"/>
      <c r="C2995" s="1"/>
      <c r="E2995" s="1"/>
      <c r="J2995" s="3"/>
      <c r="L2995" s="1"/>
    </row>
    <row r="2996" spans="1:12" x14ac:dyDescent="0.3">
      <c r="A2996" s="3"/>
      <c r="C2996" s="1"/>
      <c r="E2996" s="1"/>
      <c r="J2996" s="3"/>
      <c r="L2996" s="1"/>
    </row>
    <row r="2997" spans="1:12" x14ac:dyDescent="0.3">
      <c r="A2997" s="3"/>
      <c r="C2997" s="1"/>
      <c r="E2997" s="1"/>
      <c r="J2997" s="3"/>
      <c r="L2997" s="1"/>
    </row>
    <row r="2998" spans="1:12" x14ac:dyDescent="0.3">
      <c r="A2998" s="3"/>
      <c r="C2998" s="1"/>
      <c r="E2998" s="1"/>
      <c r="J2998" s="3"/>
      <c r="L2998" s="1"/>
    </row>
    <row r="2999" spans="1:12" x14ac:dyDescent="0.3">
      <c r="A2999" s="3"/>
      <c r="C2999" s="1"/>
      <c r="E2999" s="1"/>
      <c r="J2999" s="3"/>
      <c r="L2999" s="1"/>
    </row>
    <row r="3000" spans="1:12" x14ac:dyDescent="0.3">
      <c r="A3000" s="3"/>
      <c r="C3000" s="1"/>
      <c r="E3000" s="1"/>
      <c r="J3000" s="3"/>
      <c r="L3000" s="1"/>
    </row>
    <row r="3001" spans="1:12" x14ac:dyDescent="0.3">
      <c r="A3001" s="3"/>
      <c r="C3001" s="1"/>
      <c r="E3001" s="1"/>
      <c r="J3001" s="3"/>
      <c r="L3001" s="1"/>
    </row>
    <row r="3002" spans="1:12" x14ac:dyDescent="0.3">
      <c r="A3002" s="3"/>
      <c r="C3002" s="1"/>
      <c r="E3002" s="1"/>
      <c r="J3002" s="3"/>
      <c r="L3002" s="1"/>
    </row>
    <row r="3003" spans="1:12" x14ac:dyDescent="0.3">
      <c r="A3003" s="3"/>
      <c r="C3003" s="1"/>
      <c r="E3003" s="1"/>
      <c r="J3003" s="3"/>
      <c r="L3003" s="1"/>
    </row>
    <row r="3004" spans="1:12" x14ac:dyDescent="0.3">
      <c r="A3004" s="3"/>
      <c r="C3004" s="1"/>
      <c r="E3004" s="1"/>
      <c r="J3004" s="3"/>
      <c r="L3004" s="1"/>
    </row>
    <row r="3005" spans="1:12" x14ac:dyDescent="0.3">
      <c r="A3005" s="3"/>
      <c r="C3005" s="1"/>
      <c r="E3005" s="1"/>
      <c r="J3005" s="3"/>
      <c r="L3005" s="1"/>
    </row>
    <row r="3006" spans="1:12" x14ac:dyDescent="0.3">
      <c r="A3006" s="3"/>
      <c r="C3006" s="1"/>
      <c r="E3006" s="1"/>
      <c r="J3006" s="3"/>
      <c r="L3006" s="1"/>
    </row>
    <row r="3007" spans="1:12" x14ac:dyDescent="0.3">
      <c r="A3007" s="3"/>
      <c r="C3007" s="1"/>
      <c r="E3007" s="1"/>
      <c r="J3007" s="3"/>
      <c r="L3007" s="1"/>
    </row>
    <row r="3008" spans="1:12" x14ac:dyDescent="0.3">
      <c r="A3008" s="3"/>
      <c r="C3008" s="1"/>
      <c r="E3008" s="1"/>
      <c r="J3008" s="3"/>
      <c r="L3008" s="1"/>
    </row>
    <row r="3009" spans="1:12" x14ac:dyDescent="0.3">
      <c r="A3009" s="3"/>
      <c r="C3009" s="1"/>
      <c r="E3009" s="1"/>
      <c r="J3009" s="3"/>
      <c r="L3009" s="1"/>
    </row>
    <row r="3010" spans="1:12" x14ac:dyDescent="0.3">
      <c r="A3010" s="3"/>
      <c r="C3010" s="1"/>
      <c r="E3010" s="1"/>
      <c r="J3010" s="3"/>
      <c r="L3010" s="1"/>
    </row>
    <row r="3011" spans="1:12" x14ac:dyDescent="0.3">
      <c r="A3011" s="3"/>
      <c r="C3011" s="1"/>
      <c r="E3011" s="1"/>
      <c r="J3011" s="3"/>
      <c r="L3011" s="1"/>
    </row>
    <row r="3012" spans="1:12" x14ac:dyDescent="0.3">
      <c r="A3012" s="3"/>
      <c r="C3012" s="1"/>
      <c r="E3012" s="1"/>
      <c r="J3012" s="3"/>
      <c r="L3012" s="1"/>
    </row>
    <row r="3013" spans="1:12" x14ac:dyDescent="0.3">
      <c r="A3013" s="3"/>
      <c r="C3013" s="1"/>
      <c r="E3013" s="1"/>
      <c r="J3013" s="3"/>
      <c r="L3013" s="1"/>
    </row>
    <row r="3014" spans="1:12" x14ac:dyDescent="0.3">
      <c r="A3014" s="3"/>
      <c r="C3014" s="1"/>
      <c r="E3014" s="1"/>
      <c r="J3014" s="3"/>
      <c r="L3014" s="1"/>
    </row>
    <row r="3015" spans="1:12" x14ac:dyDescent="0.3">
      <c r="A3015" s="3"/>
      <c r="C3015" s="1"/>
      <c r="E3015" s="1"/>
      <c r="J3015" s="3"/>
      <c r="L3015" s="1"/>
    </row>
    <row r="3016" spans="1:12" x14ac:dyDescent="0.3">
      <c r="A3016" s="3"/>
      <c r="C3016" s="1"/>
      <c r="E3016" s="1"/>
      <c r="J3016" s="3"/>
      <c r="L3016" s="1"/>
    </row>
    <row r="3017" spans="1:12" x14ac:dyDescent="0.3">
      <c r="A3017" s="3"/>
      <c r="C3017" s="1"/>
      <c r="E3017" s="1"/>
      <c r="J3017" s="3"/>
      <c r="L3017" s="1"/>
    </row>
    <row r="3018" spans="1:12" x14ac:dyDescent="0.3">
      <c r="A3018" s="3"/>
      <c r="C3018" s="1"/>
      <c r="E3018" s="1"/>
      <c r="J3018" s="3"/>
      <c r="L3018" s="1"/>
    </row>
    <row r="3019" spans="1:12" x14ac:dyDescent="0.3">
      <c r="A3019" s="3"/>
      <c r="C3019" s="1"/>
      <c r="E3019" s="1"/>
      <c r="J3019" s="3"/>
      <c r="L3019" s="1"/>
    </row>
    <row r="3020" spans="1:12" x14ac:dyDescent="0.3">
      <c r="A3020" s="3"/>
      <c r="C3020" s="1"/>
      <c r="E3020" s="1"/>
      <c r="J3020" s="3"/>
      <c r="L3020" s="1"/>
    </row>
    <row r="3021" spans="1:12" x14ac:dyDescent="0.3">
      <c r="A3021" s="3"/>
      <c r="C3021" s="1"/>
      <c r="E3021" s="1"/>
      <c r="J3021" s="3"/>
      <c r="L3021" s="1"/>
    </row>
    <row r="3022" spans="1:12" x14ac:dyDescent="0.3">
      <c r="A3022" s="3"/>
      <c r="C3022" s="1"/>
      <c r="E3022" s="1"/>
      <c r="J3022" s="3"/>
      <c r="L3022" s="1"/>
    </row>
    <row r="3023" spans="1:12" x14ac:dyDescent="0.3">
      <c r="A3023" s="3"/>
      <c r="C3023" s="1"/>
      <c r="E3023" s="1"/>
      <c r="J3023" s="3"/>
      <c r="L3023" s="1"/>
    </row>
    <row r="3024" spans="1:12" x14ac:dyDescent="0.3">
      <c r="A3024" s="3"/>
      <c r="C3024" s="1"/>
      <c r="E3024" s="1"/>
      <c r="J3024" s="3"/>
      <c r="L3024" s="1"/>
    </row>
    <row r="3025" spans="1:12" x14ac:dyDescent="0.3">
      <c r="A3025" s="3"/>
      <c r="C3025" s="1"/>
      <c r="E3025" s="1"/>
      <c r="J3025" s="3"/>
      <c r="L3025" s="1"/>
    </row>
    <row r="3026" spans="1:12" x14ac:dyDescent="0.3">
      <c r="A3026" s="3"/>
      <c r="C3026" s="1"/>
      <c r="E3026" s="1"/>
      <c r="J3026" s="3"/>
      <c r="L3026" s="1"/>
    </row>
    <row r="3027" spans="1:12" x14ac:dyDescent="0.3">
      <c r="A3027" s="3"/>
      <c r="C3027" s="1"/>
      <c r="E3027" s="1"/>
      <c r="J3027" s="3"/>
      <c r="L3027" s="1"/>
    </row>
    <row r="3028" spans="1:12" x14ac:dyDescent="0.3">
      <c r="A3028" s="3"/>
      <c r="C3028" s="1"/>
      <c r="E3028" s="1"/>
      <c r="J3028" s="3"/>
      <c r="L3028" s="1"/>
    </row>
    <row r="3029" spans="1:12" x14ac:dyDescent="0.3">
      <c r="A3029" s="3"/>
      <c r="C3029" s="1"/>
      <c r="E3029" s="1"/>
      <c r="J3029" s="3"/>
      <c r="L3029" s="1"/>
    </row>
    <row r="3030" spans="1:12" x14ac:dyDescent="0.3">
      <c r="A3030" s="3"/>
      <c r="C3030" s="1"/>
      <c r="E3030" s="1"/>
      <c r="J3030" s="3"/>
      <c r="L3030" s="1"/>
    </row>
    <row r="3031" spans="1:12" x14ac:dyDescent="0.3">
      <c r="A3031" s="3"/>
      <c r="C3031" s="1"/>
      <c r="E3031" s="1"/>
      <c r="J3031" s="3"/>
      <c r="L3031" s="1"/>
    </row>
    <row r="3032" spans="1:12" x14ac:dyDescent="0.3">
      <c r="A3032" s="3"/>
      <c r="C3032" s="1"/>
      <c r="E3032" s="1"/>
      <c r="J3032" s="3"/>
      <c r="L3032" s="1"/>
    </row>
    <row r="3033" spans="1:12" x14ac:dyDescent="0.3">
      <c r="A3033" s="3"/>
      <c r="C3033" s="1"/>
      <c r="E3033" s="1"/>
      <c r="J3033" s="3"/>
      <c r="L3033" s="1"/>
    </row>
    <row r="3034" spans="1:12" x14ac:dyDescent="0.3">
      <c r="A3034" s="3"/>
      <c r="C3034" s="1"/>
      <c r="E3034" s="1"/>
      <c r="J3034" s="3"/>
      <c r="L3034" s="1"/>
    </row>
    <row r="3035" spans="1:12" x14ac:dyDescent="0.3">
      <c r="A3035" s="3"/>
      <c r="C3035" s="1"/>
      <c r="E3035" s="1"/>
      <c r="J3035" s="3"/>
      <c r="L3035" s="1"/>
    </row>
    <row r="3036" spans="1:12" x14ac:dyDescent="0.3">
      <c r="A3036" s="3"/>
      <c r="C3036" s="1"/>
      <c r="E3036" s="1"/>
      <c r="J3036" s="3"/>
      <c r="L3036" s="1"/>
    </row>
    <row r="3037" spans="1:12" x14ac:dyDescent="0.3">
      <c r="A3037" s="3"/>
      <c r="C3037" s="1"/>
      <c r="E3037" s="1"/>
      <c r="J3037" s="3"/>
      <c r="L3037" s="1"/>
    </row>
    <row r="3038" spans="1:12" x14ac:dyDescent="0.3">
      <c r="A3038" s="3"/>
      <c r="C3038" s="1"/>
      <c r="E3038" s="1"/>
      <c r="J3038" s="3"/>
      <c r="L3038" s="1"/>
    </row>
    <row r="3039" spans="1:12" x14ac:dyDescent="0.3">
      <c r="A3039" s="3"/>
      <c r="C3039" s="1"/>
      <c r="E3039" s="1"/>
      <c r="J3039" s="3"/>
      <c r="L3039" s="1"/>
    </row>
    <row r="3040" spans="1:12" x14ac:dyDescent="0.3">
      <c r="A3040" s="3"/>
      <c r="C3040" s="1"/>
      <c r="E3040" s="1"/>
      <c r="J3040" s="3"/>
      <c r="L3040" s="1"/>
    </row>
    <row r="3041" spans="1:12" x14ac:dyDescent="0.3">
      <c r="A3041" s="3"/>
      <c r="C3041" s="1"/>
      <c r="E3041" s="1"/>
      <c r="J3041" s="3"/>
      <c r="L3041" s="1"/>
    </row>
    <row r="3042" spans="1:12" x14ac:dyDescent="0.3">
      <c r="A3042" s="3"/>
      <c r="C3042" s="1"/>
      <c r="E3042" s="1"/>
      <c r="J3042" s="3"/>
      <c r="L3042" s="1"/>
    </row>
    <row r="3043" spans="1:12" x14ac:dyDescent="0.3">
      <c r="A3043" s="3"/>
      <c r="C3043" s="1"/>
      <c r="E3043" s="1"/>
      <c r="J3043" s="3"/>
      <c r="L3043" s="1"/>
    </row>
    <row r="3044" spans="1:12" x14ac:dyDescent="0.3">
      <c r="A3044" s="3"/>
      <c r="C3044" s="1"/>
      <c r="E3044" s="1"/>
      <c r="J3044" s="3"/>
      <c r="L3044" s="1"/>
    </row>
    <row r="3045" spans="1:12" x14ac:dyDescent="0.3">
      <c r="A3045" s="3"/>
      <c r="C3045" s="1"/>
      <c r="E3045" s="1"/>
      <c r="J3045" s="3"/>
      <c r="L3045" s="1"/>
    </row>
    <row r="3046" spans="1:12" x14ac:dyDescent="0.3">
      <c r="A3046" s="3"/>
      <c r="C3046" s="1"/>
      <c r="E3046" s="1"/>
      <c r="J3046" s="3"/>
      <c r="L3046" s="1"/>
    </row>
    <row r="3047" spans="1:12" x14ac:dyDescent="0.3">
      <c r="A3047" s="3"/>
      <c r="C3047" s="1"/>
      <c r="E3047" s="1"/>
      <c r="J3047" s="3"/>
      <c r="L3047" s="1"/>
    </row>
    <row r="3048" spans="1:12" x14ac:dyDescent="0.3">
      <c r="A3048" s="3"/>
      <c r="C3048" s="1"/>
      <c r="E3048" s="1"/>
      <c r="J3048" s="3"/>
      <c r="L3048" s="1"/>
    </row>
    <row r="3049" spans="1:12" x14ac:dyDescent="0.3">
      <c r="A3049" s="3"/>
      <c r="C3049" s="1"/>
      <c r="E3049" s="1"/>
      <c r="J3049" s="3"/>
      <c r="L3049" s="1"/>
    </row>
    <row r="3050" spans="1:12" x14ac:dyDescent="0.3">
      <c r="A3050" s="3"/>
      <c r="C3050" s="1"/>
      <c r="E3050" s="1"/>
      <c r="J3050" s="3"/>
      <c r="L3050" s="1"/>
    </row>
    <row r="3051" spans="1:12" x14ac:dyDescent="0.3">
      <c r="A3051" s="3"/>
      <c r="C3051" s="1"/>
      <c r="E3051" s="1"/>
      <c r="J3051" s="3"/>
      <c r="L3051" s="1"/>
    </row>
    <row r="3052" spans="1:12" x14ac:dyDescent="0.3">
      <c r="A3052" s="3"/>
      <c r="C3052" s="1"/>
      <c r="E3052" s="1"/>
      <c r="J3052" s="3"/>
      <c r="L3052" s="1"/>
    </row>
    <row r="3053" spans="1:12" x14ac:dyDescent="0.3">
      <c r="A3053" s="3"/>
      <c r="C3053" s="1"/>
      <c r="E3053" s="1"/>
      <c r="J3053" s="3"/>
      <c r="L3053" s="1"/>
    </row>
    <row r="3054" spans="1:12" x14ac:dyDescent="0.3">
      <c r="A3054" s="3"/>
      <c r="C3054" s="1"/>
      <c r="E3054" s="1"/>
      <c r="J3054" s="3"/>
      <c r="L3054" s="1"/>
    </row>
    <row r="3055" spans="1:12" x14ac:dyDescent="0.3">
      <c r="A3055" s="3"/>
      <c r="C3055" s="1"/>
      <c r="E3055" s="1"/>
      <c r="J3055" s="3"/>
      <c r="L3055" s="1"/>
    </row>
    <row r="3056" spans="1:12" x14ac:dyDescent="0.3">
      <c r="A3056" s="3"/>
      <c r="C3056" s="1"/>
      <c r="E3056" s="1"/>
      <c r="J3056" s="3"/>
      <c r="L3056" s="1"/>
    </row>
    <row r="3057" spans="1:12" x14ac:dyDescent="0.3">
      <c r="A3057" s="3"/>
      <c r="C3057" s="1"/>
      <c r="E3057" s="1"/>
      <c r="J3057" s="3"/>
      <c r="L3057" s="1"/>
    </row>
    <row r="3058" spans="1:12" x14ac:dyDescent="0.3">
      <c r="A3058" s="3"/>
      <c r="C3058" s="1"/>
      <c r="E3058" s="1"/>
      <c r="J3058" s="3"/>
      <c r="L3058" s="1"/>
    </row>
    <row r="3059" spans="1:12" x14ac:dyDescent="0.3">
      <c r="A3059" s="3"/>
      <c r="C3059" s="1"/>
      <c r="E3059" s="1"/>
      <c r="J3059" s="3"/>
      <c r="L3059" s="1"/>
    </row>
    <row r="3060" spans="1:12" x14ac:dyDescent="0.3">
      <c r="A3060" s="3"/>
      <c r="C3060" s="1"/>
      <c r="E3060" s="1"/>
      <c r="J3060" s="3"/>
      <c r="L3060" s="1"/>
    </row>
    <row r="3061" spans="1:12" x14ac:dyDescent="0.3">
      <c r="A3061" s="3"/>
      <c r="C3061" s="1"/>
      <c r="E3061" s="1"/>
      <c r="J3061" s="3"/>
      <c r="L3061" s="1"/>
    </row>
    <row r="3062" spans="1:12" x14ac:dyDescent="0.3">
      <c r="A3062" s="3"/>
      <c r="C3062" s="1"/>
      <c r="E3062" s="1"/>
      <c r="J3062" s="3"/>
      <c r="L3062" s="1"/>
    </row>
    <row r="3063" spans="1:12" x14ac:dyDescent="0.3">
      <c r="A3063" s="3"/>
      <c r="C3063" s="1"/>
      <c r="E3063" s="1"/>
      <c r="J3063" s="3"/>
      <c r="L3063" s="1"/>
    </row>
    <row r="3064" spans="1:12" x14ac:dyDescent="0.3">
      <c r="A3064" s="3"/>
      <c r="C3064" s="1"/>
      <c r="E3064" s="1"/>
      <c r="J3064" s="3"/>
      <c r="L3064" s="1"/>
    </row>
    <row r="3065" spans="1:12" x14ac:dyDescent="0.3">
      <c r="A3065" s="3"/>
      <c r="C3065" s="1"/>
      <c r="E3065" s="1"/>
      <c r="J3065" s="3"/>
      <c r="L3065" s="1"/>
    </row>
    <row r="3066" spans="1:12" x14ac:dyDescent="0.3">
      <c r="A3066" s="3"/>
      <c r="C3066" s="1"/>
      <c r="E3066" s="1"/>
      <c r="J3066" s="3"/>
      <c r="L3066" s="1"/>
    </row>
    <row r="3067" spans="1:12" x14ac:dyDescent="0.3">
      <c r="A3067" s="3"/>
      <c r="C3067" s="1"/>
      <c r="E3067" s="1"/>
      <c r="J3067" s="3"/>
      <c r="L3067" s="1"/>
    </row>
    <row r="3068" spans="1:12" x14ac:dyDescent="0.3">
      <c r="A3068" s="3"/>
      <c r="C3068" s="1"/>
      <c r="E3068" s="1"/>
      <c r="J3068" s="3"/>
      <c r="L3068" s="1"/>
    </row>
    <row r="3069" spans="1:12" x14ac:dyDescent="0.3">
      <c r="A3069" s="3"/>
      <c r="C3069" s="1"/>
      <c r="E3069" s="1"/>
      <c r="J3069" s="3"/>
      <c r="L3069" s="1"/>
    </row>
    <row r="3070" spans="1:12" x14ac:dyDescent="0.3">
      <c r="A3070" s="3"/>
      <c r="C3070" s="1"/>
      <c r="E3070" s="1"/>
      <c r="J3070" s="3"/>
      <c r="L3070" s="1"/>
    </row>
    <row r="3071" spans="1:12" x14ac:dyDescent="0.3">
      <c r="A3071" s="3"/>
      <c r="C3071" s="1"/>
      <c r="E3071" s="1"/>
      <c r="J3071" s="3"/>
      <c r="L3071" s="1"/>
    </row>
    <row r="3072" spans="1:12" x14ac:dyDescent="0.3">
      <c r="A3072" s="3"/>
      <c r="C3072" s="1"/>
      <c r="E3072" s="1"/>
      <c r="J3072" s="3"/>
      <c r="L3072" s="1"/>
    </row>
    <row r="3073" spans="1:12" x14ac:dyDescent="0.3">
      <c r="A3073" s="3"/>
      <c r="C3073" s="1"/>
      <c r="E3073" s="1"/>
      <c r="J3073" s="3"/>
      <c r="L3073" s="1"/>
    </row>
    <row r="3074" spans="1:12" x14ac:dyDescent="0.3">
      <c r="A3074" s="3"/>
      <c r="C3074" s="1"/>
      <c r="E3074" s="1"/>
      <c r="J3074" s="3"/>
      <c r="L3074" s="1"/>
    </row>
    <row r="3075" spans="1:12" x14ac:dyDescent="0.3">
      <c r="A3075" s="3"/>
      <c r="C3075" s="1"/>
      <c r="E3075" s="1"/>
      <c r="J3075" s="3"/>
      <c r="L3075" s="1"/>
    </row>
    <row r="3076" spans="1:12" x14ac:dyDescent="0.3">
      <c r="A3076" s="3"/>
      <c r="C3076" s="1"/>
      <c r="E3076" s="1"/>
      <c r="J3076" s="3"/>
      <c r="L3076" s="1"/>
    </row>
    <row r="3077" spans="1:12" x14ac:dyDescent="0.3">
      <c r="A3077" s="3"/>
      <c r="C3077" s="1"/>
      <c r="E3077" s="1"/>
      <c r="J3077" s="3"/>
      <c r="L3077" s="1"/>
    </row>
    <row r="3078" spans="1:12" x14ac:dyDescent="0.3">
      <c r="A3078" s="3"/>
      <c r="C3078" s="1"/>
      <c r="E3078" s="1"/>
      <c r="J3078" s="3"/>
      <c r="L3078" s="1"/>
    </row>
    <row r="3079" spans="1:12" x14ac:dyDescent="0.3">
      <c r="A3079" s="3"/>
      <c r="C3079" s="1"/>
      <c r="E3079" s="1"/>
      <c r="J3079" s="3"/>
      <c r="L3079" s="1"/>
    </row>
    <row r="3080" spans="1:12" x14ac:dyDescent="0.3">
      <c r="A3080" s="3"/>
      <c r="C3080" s="1"/>
      <c r="E3080" s="1"/>
      <c r="J3080" s="3"/>
      <c r="L3080" s="1"/>
    </row>
    <row r="3081" spans="1:12" x14ac:dyDescent="0.3">
      <c r="A3081" s="3"/>
      <c r="C3081" s="1"/>
      <c r="E3081" s="1"/>
      <c r="J3081" s="3"/>
      <c r="L3081" s="1"/>
    </row>
    <row r="3082" spans="1:12" x14ac:dyDescent="0.3">
      <c r="A3082" s="3"/>
      <c r="C3082" s="1"/>
      <c r="E3082" s="1"/>
      <c r="J3082" s="3"/>
      <c r="L3082" s="1"/>
    </row>
    <row r="3083" spans="1:12" x14ac:dyDescent="0.3">
      <c r="A3083" s="3"/>
      <c r="C3083" s="1"/>
      <c r="E3083" s="1"/>
      <c r="J3083" s="3"/>
      <c r="L3083" s="1"/>
    </row>
    <row r="3084" spans="1:12" x14ac:dyDescent="0.3">
      <c r="A3084" s="3"/>
      <c r="C3084" s="1"/>
      <c r="E3084" s="1"/>
      <c r="J3084" s="3"/>
      <c r="L3084" s="1"/>
    </row>
    <row r="3085" spans="1:12" x14ac:dyDescent="0.3">
      <c r="A3085" s="3"/>
      <c r="C3085" s="1"/>
      <c r="E3085" s="1"/>
      <c r="J3085" s="3"/>
      <c r="L3085" s="1"/>
    </row>
    <row r="3086" spans="1:12" x14ac:dyDescent="0.3">
      <c r="A3086" s="3"/>
      <c r="C3086" s="1"/>
      <c r="E3086" s="1"/>
      <c r="J3086" s="3"/>
      <c r="L3086" s="1"/>
    </row>
    <row r="3087" spans="1:12" x14ac:dyDescent="0.3">
      <c r="A3087" s="3"/>
      <c r="C3087" s="1"/>
      <c r="E3087" s="1"/>
      <c r="J3087" s="3"/>
      <c r="L3087" s="1"/>
    </row>
    <row r="3088" spans="1:12" x14ac:dyDescent="0.3">
      <c r="A3088" s="3"/>
      <c r="C3088" s="1"/>
      <c r="E3088" s="1"/>
      <c r="J3088" s="3"/>
      <c r="L3088" s="1"/>
    </row>
    <row r="3089" spans="1:12" x14ac:dyDescent="0.3">
      <c r="A3089" s="3"/>
      <c r="C3089" s="1"/>
      <c r="E3089" s="1"/>
      <c r="J3089" s="3"/>
      <c r="L3089" s="1"/>
    </row>
    <row r="3090" spans="1:12" x14ac:dyDescent="0.3">
      <c r="A3090" s="3"/>
      <c r="C3090" s="1"/>
      <c r="E3090" s="1"/>
      <c r="J3090" s="3"/>
      <c r="L3090" s="1"/>
    </row>
    <row r="3091" spans="1:12" x14ac:dyDescent="0.3">
      <c r="A3091" s="3"/>
      <c r="C3091" s="1"/>
      <c r="E3091" s="1"/>
      <c r="J3091" s="3"/>
      <c r="L3091" s="1"/>
    </row>
    <row r="3092" spans="1:12" x14ac:dyDescent="0.3">
      <c r="A3092" s="3"/>
      <c r="C3092" s="1"/>
      <c r="E3092" s="1"/>
      <c r="J3092" s="3"/>
      <c r="L3092" s="1"/>
    </row>
    <row r="3093" spans="1:12" x14ac:dyDescent="0.3">
      <c r="A3093" s="3"/>
      <c r="C3093" s="1"/>
      <c r="E3093" s="1"/>
      <c r="J3093" s="3"/>
      <c r="L3093" s="1"/>
    </row>
    <row r="3094" spans="1:12" x14ac:dyDescent="0.3">
      <c r="A3094" s="3"/>
      <c r="C3094" s="1"/>
      <c r="E3094" s="1"/>
      <c r="J3094" s="3"/>
      <c r="L3094" s="1"/>
    </row>
    <row r="3095" spans="1:12" x14ac:dyDescent="0.3">
      <c r="A3095" s="3"/>
      <c r="C3095" s="1"/>
      <c r="E3095" s="1"/>
      <c r="J3095" s="3"/>
      <c r="L3095" s="1"/>
    </row>
    <row r="3096" spans="1:12" x14ac:dyDescent="0.3">
      <c r="A3096" s="3"/>
      <c r="C3096" s="1"/>
      <c r="E3096" s="1"/>
      <c r="J3096" s="3"/>
      <c r="L3096" s="1"/>
    </row>
    <row r="3097" spans="1:12" x14ac:dyDescent="0.3">
      <c r="A3097" s="3"/>
      <c r="C3097" s="1"/>
      <c r="E3097" s="1"/>
      <c r="J3097" s="3"/>
      <c r="L3097" s="1"/>
    </row>
    <row r="3098" spans="1:12" x14ac:dyDescent="0.3">
      <c r="A3098" s="3"/>
      <c r="C3098" s="1"/>
      <c r="E3098" s="1"/>
      <c r="J3098" s="3"/>
      <c r="L3098" s="1"/>
    </row>
    <row r="3099" spans="1:12" x14ac:dyDescent="0.3">
      <c r="A3099" s="3"/>
      <c r="C3099" s="1"/>
      <c r="E3099" s="1"/>
      <c r="J3099" s="3"/>
      <c r="L3099" s="1"/>
    </row>
    <row r="3100" spans="1:12" x14ac:dyDescent="0.3">
      <c r="A3100" s="3"/>
      <c r="C3100" s="1"/>
      <c r="E3100" s="1"/>
      <c r="J3100" s="3"/>
      <c r="L3100" s="1"/>
    </row>
    <row r="3101" spans="1:12" x14ac:dyDescent="0.3">
      <c r="A3101" s="3"/>
      <c r="C3101" s="1"/>
      <c r="E3101" s="1"/>
      <c r="J3101" s="3"/>
      <c r="L3101" s="1"/>
    </row>
    <row r="3102" spans="1:12" x14ac:dyDescent="0.3">
      <c r="A3102" s="3"/>
      <c r="C3102" s="1"/>
      <c r="E3102" s="1"/>
      <c r="J3102" s="3"/>
      <c r="L3102" s="1"/>
    </row>
    <row r="3103" spans="1:12" x14ac:dyDescent="0.3">
      <c r="A3103" s="3"/>
      <c r="C3103" s="1"/>
      <c r="E3103" s="1"/>
      <c r="J3103" s="3"/>
      <c r="L3103" s="1"/>
    </row>
    <row r="3104" spans="1:12" x14ac:dyDescent="0.3">
      <c r="A3104" s="3"/>
      <c r="C3104" s="1"/>
      <c r="E3104" s="1"/>
      <c r="J3104" s="3"/>
      <c r="L3104" s="1"/>
    </row>
    <row r="3105" spans="1:12" x14ac:dyDescent="0.3">
      <c r="A3105" s="3"/>
      <c r="C3105" s="1"/>
      <c r="E3105" s="1"/>
      <c r="J3105" s="3"/>
      <c r="L3105" s="1"/>
    </row>
    <row r="3106" spans="1:12" x14ac:dyDescent="0.3">
      <c r="A3106" s="3"/>
      <c r="C3106" s="1"/>
      <c r="E3106" s="1"/>
      <c r="J3106" s="3"/>
      <c r="L3106" s="1"/>
    </row>
    <row r="3107" spans="1:12" x14ac:dyDescent="0.3">
      <c r="A3107" s="3"/>
      <c r="C3107" s="1"/>
      <c r="E3107" s="1"/>
      <c r="J3107" s="3"/>
      <c r="L3107" s="1"/>
    </row>
    <row r="3108" spans="1:12" x14ac:dyDescent="0.3">
      <c r="A3108" s="3"/>
      <c r="C3108" s="1"/>
      <c r="E3108" s="1"/>
      <c r="J3108" s="3"/>
      <c r="L3108" s="1"/>
    </row>
    <row r="3109" spans="1:12" x14ac:dyDescent="0.3">
      <c r="A3109" s="3"/>
      <c r="C3109" s="1"/>
      <c r="E3109" s="1"/>
      <c r="J3109" s="3"/>
      <c r="L3109" s="1"/>
    </row>
    <row r="3110" spans="1:12" x14ac:dyDescent="0.3">
      <c r="A3110" s="3"/>
      <c r="C3110" s="1"/>
      <c r="E3110" s="1"/>
      <c r="J3110" s="3"/>
      <c r="L3110" s="1"/>
    </row>
    <row r="3111" spans="1:12" x14ac:dyDescent="0.3">
      <c r="A3111" s="3"/>
      <c r="C3111" s="1"/>
      <c r="E3111" s="1"/>
      <c r="J3111" s="3"/>
      <c r="L3111" s="1"/>
    </row>
    <row r="3112" spans="1:12" x14ac:dyDescent="0.3">
      <c r="A3112" s="3"/>
      <c r="C3112" s="1"/>
      <c r="E3112" s="1"/>
      <c r="J3112" s="3"/>
      <c r="L3112" s="1"/>
    </row>
    <row r="3113" spans="1:12" x14ac:dyDescent="0.3">
      <c r="A3113" s="3"/>
      <c r="C3113" s="1"/>
      <c r="E3113" s="1"/>
      <c r="J3113" s="3"/>
      <c r="L3113" s="1"/>
    </row>
    <row r="3114" spans="1:12" x14ac:dyDescent="0.3">
      <c r="A3114" s="3"/>
      <c r="C3114" s="1"/>
      <c r="E3114" s="1"/>
      <c r="J3114" s="3"/>
      <c r="L3114" s="1"/>
    </row>
    <row r="3115" spans="1:12" x14ac:dyDescent="0.3">
      <c r="A3115" s="3"/>
      <c r="C3115" s="1"/>
      <c r="E3115" s="1"/>
      <c r="J3115" s="3"/>
      <c r="L3115" s="1"/>
    </row>
    <row r="3116" spans="1:12" x14ac:dyDescent="0.3">
      <c r="A3116" s="3"/>
      <c r="C3116" s="1"/>
      <c r="E3116" s="1"/>
      <c r="J3116" s="3"/>
      <c r="L3116" s="1"/>
    </row>
    <row r="3117" spans="1:12" x14ac:dyDescent="0.3">
      <c r="A3117" s="3"/>
      <c r="C3117" s="1"/>
      <c r="E3117" s="1"/>
      <c r="J3117" s="3"/>
      <c r="L3117" s="1"/>
    </row>
    <row r="3118" spans="1:12" x14ac:dyDescent="0.3">
      <c r="A3118" s="3"/>
      <c r="C3118" s="1"/>
      <c r="E3118" s="1"/>
      <c r="J3118" s="3"/>
      <c r="L3118" s="1"/>
    </row>
    <row r="3119" spans="1:12" x14ac:dyDescent="0.3">
      <c r="A3119" s="3"/>
      <c r="C3119" s="1"/>
      <c r="E3119" s="1"/>
      <c r="J3119" s="3"/>
      <c r="L3119" s="1"/>
    </row>
    <row r="3120" spans="1:12" x14ac:dyDescent="0.3">
      <c r="A3120" s="3"/>
      <c r="C3120" s="1"/>
      <c r="E3120" s="1"/>
      <c r="J3120" s="3"/>
      <c r="L3120" s="1"/>
    </row>
    <row r="3121" spans="1:12" x14ac:dyDescent="0.3">
      <c r="A3121" s="3"/>
      <c r="C3121" s="1"/>
      <c r="E3121" s="1"/>
      <c r="J3121" s="3"/>
      <c r="L3121" s="1"/>
    </row>
    <row r="3122" spans="1:12" x14ac:dyDescent="0.3">
      <c r="A3122" s="3"/>
      <c r="C3122" s="1"/>
      <c r="E3122" s="1"/>
      <c r="J3122" s="3"/>
      <c r="L3122" s="1"/>
    </row>
    <row r="3123" spans="1:12" x14ac:dyDescent="0.3">
      <c r="A3123" s="3"/>
      <c r="C3123" s="1"/>
      <c r="E3123" s="1"/>
      <c r="J3123" s="3"/>
      <c r="L3123" s="1"/>
    </row>
    <row r="3124" spans="1:12" x14ac:dyDescent="0.3">
      <c r="A3124" s="3"/>
      <c r="C3124" s="1"/>
      <c r="E3124" s="1"/>
      <c r="J3124" s="3"/>
      <c r="L3124" s="1"/>
    </row>
    <row r="3125" spans="1:12" x14ac:dyDescent="0.3">
      <c r="A3125" s="3"/>
      <c r="C3125" s="1"/>
      <c r="E3125" s="1"/>
      <c r="J3125" s="3"/>
      <c r="L3125" s="1"/>
    </row>
    <row r="3126" spans="1:12" x14ac:dyDescent="0.3">
      <c r="A3126" s="3"/>
      <c r="C3126" s="1"/>
      <c r="E3126" s="1"/>
      <c r="J3126" s="3"/>
      <c r="L3126" s="1"/>
    </row>
    <row r="3127" spans="1:12" x14ac:dyDescent="0.3">
      <c r="A3127" s="3"/>
      <c r="C3127" s="1"/>
      <c r="E3127" s="1"/>
      <c r="J3127" s="3"/>
      <c r="L3127" s="1"/>
    </row>
    <row r="3128" spans="1:12" x14ac:dyDescent="0.3">
      <c r="A3128" s="3"/>
      <c r="C3128" s="1"/>
      <c r="E3128" s="1"/>
      <c r="J3128" s="3"/>
      <c r="L3128" s="1"/>
    </row>
    <row r="3129" spans="1:12" x14ac:dyDescent="0.3">
      <c r="A3129" s="3"/>
      <c r="C3129" s="1"/>
      <c r="E3129" s="1"/>
      <c r="J3129" s="3"/>
      <c r="L3129" s="1"/>
    </row>
    <row r="3130" spans="1:12" x14ac:dyDescent="0.3">
      <c r="A3130" s="3"/>
      <c r="C3130" s="1"/>
      <c r="E3130" s="1"/>
      <c r="J3130" s="3"/>
      <c r="L3130" s="1"/>
    </row>
    <row r="3131" spans="1:12" x14ac:dyDescent="0.3">
      <c r="A3131" s="3"/>
      <c r="C3131" s="1"/>
      <c r="E3131" s="1"/>
      <c r="J3131" s="3"/>
      <c r="L3131" s="1"/>
    </row>
    <row r="3132" spans="1:12" x14ac:dyDescent="0.3">
      <c r="A3132" s="3"/>
      <c r="C3132" s="1"/>
      <c r="E3132" s="1"/>
      <c r="J3132" s="3"/>
      <c r="L3132" s="1"/>
    </row>
    <row r="3133" spans="1:12" x14ac:dyDescent="0.3">
      <c r="A3133" s="3"/>
      <c r="C3133" s="1"/>
      <c r="E3133" s="1"/>
      <c r="J3133" s="3"/>
      <c r="L3133" s="1"/>
    </row>
    <row r="3134" spans="1:12" x14ac:dyDescent="0.3">
      <c r="A3134" s="3"/>
      <c r="C3134" s="1"/>
      <c r="E3134" s="1"/>
      <c r="J3134" s="3"/>
      <c r="L3134" s="1"/>
    </row>
    <row r="3135" spans="1:12" x14ac:dyDescent="0.3">
      <c r="A3135" s="3"/>
      <c r="C3135" s="1"/>
      <c r="E3135" s="1"/>
      <c r="J3135" s="3"/>
      <c r="L3135" s="1"/>
    </row>
    <row r="3136" spans="1:12" x14ac:dyDescent="0.3">
      <c r="A3136" s="3"/>
      <c r="C3136" s="1"/>
      <c r="E3136" s="1"/>
      <c r="J3136" s="3"/>
      <c r="L3136" s="1"/>
    </row>
    <row r="3137" spans="1:12" x14ac:dyDescent="0.3">
      <c r="A3137" s="3"/>
      <c r="C3137" s="1"/>
      <c r="E3137" s="1"/>
      <c r="J3137" s="3"/>
      <c r="L3137" s="1"/>
    </row>
    <row r="3138" spans="1:12" x14ac:dyDescent="0.3">
      <c r="A3138" s="3"/>
      <c r="C3138" s="1"/>
      <c r="E3138" s="1"/>
      <c r="J3138" s="3"/>
      <c r="L3138" s="1"/>
    </row>
    <row r="3139" spans="1:12" x14ac:dyDescent="0.3">
      <c r="A3139" s="3"/>
      <c r="C3139" s="1"/>
      <c r="E3139" s="1"/>
      <c r="J3139" s="3"/>
      <c r="L3139" s="1"/>
    </row>
    <row r="3140" spans="1:12" x14ac:dyDescent="0.3">
      <c r="A3140" s="3"/>
      <c r="C3140" s="1"/>
      <c r="E3140" s="1"/>
      <c r="J3140" s="3"/>
      <c r="L3140" s="1"/>
    </row>
    <row r="3141" spans="1:12" x14ac:dyDescent="0.3">
      <c r="A3141" s="3"/>
      <c r="C3141" s="1"/>
      <c r="E3141" s="1"/>
      <c r="J3141" s="3"/>
      <c r="L3141" s="1"/>
    </row>
    <row r="3142" spans="1:12" x14ac:dyDescent="0.3">
      <c r="A3142" s="3"/>
      <c r="C3142" s="1"/>
      <c r="E3142" s="1"/>
      <c r="J3142" s="3"/>
      <c r="L3142" s="1"/>
    </row>
    <row r="3143" spans="1:12" x14ac:dyDescent="0.3">
      <c r="A3143" s="3"/>
      <c r="C3143" s="1"/>
      <c r="E3143" s="1"/>
      <c r="J3143" s="3"/>
      <c r="L3143" s="1"/>
    </row>
    <row r="3144" spans="1:12" x14ac:dyDescent="0.3">
      <c r="A3144" s="3"/>
      <c r="C3144" s="1"/>
      <c r="E3144" s="1"/>
      <c r="J3144" s="3"/>
      <c r="L3144" s="1"/>
    </row>
    <row r="3145" spans="1:12" x14ac:dyDescent="0.3">
      <c r="A3145" s="3"/>
      <c r="C3145" s="1"/>
      <c r="E3145" s="1"/>
      <c r="J3145" s="3"/>
      <c r="L3145" s="1"/>
    </row>
    <row r="3146" spans="1:12" x14ac:dyDescent="0.3">
      <c r="A3146" s="3"/>
      <c r="C3146" s="1"/>
      <c r="E3146" s="1"/>
      <c r="J3146" s="3"/>
      <c r="L3146" s="1"/>
    </row>
    <row r="3147" spans="1:12" x14ac:dyDescent="0.3">
      <c r="A3147" s="3"/>
      <c r="C3147" s="1"/>
      <c r="E3147" s="1"/>
      <c r="J3147" s="3"/>
      <c r="L3147" s="1"/>
    </row>
    <row r="3148" spans="1:12" x14ac:dyDescent="0.3">
      <c r="A3148" s="3"/>
      <c r="C3148" s="1"/>
      <c r="E3148" s="1"/>
      <c r="J3148" s="3"/>
      <c r="L3148" s="1"/>
    </row>
    <row r="3149" spans="1:12" x14ac:dyDescent="0.3">
      <c r="A3149" s="3"/>
      <c r="C3149" s="1"/>
      <c r="E3149" s="1"/>
      <c r="J3149" s="3"/>
      <c r="L3149" s="1"/>
    </row>
    <row r="3150" spans="1:12" x14ac:dyDescent="0.3">
      <c r="A3150" s="3"/>
      <c r="C3150" s="1"/>
      <c r="E3150" s="1"/>
      <c r="J3150" s="3"/>
      <c r="L3150" s="1"/>
    </row>
    <row r="3151" spans="1:12" x14ac:dyDescent="0.3">
      <c r="A3151" s="3"/>
      <c r="C3151" s="1"/>
      <c r="E3151" s="1"/>
      <c r="J3151" s="3"/>
      <c r="L3151" s="1"/>
    </row>
    <row r="3152" spans="1:12" x14ac:dyDescent="0.3">
      <c r="A3152" s="3"/>
      <c r="C3152" s="1"/>
      <c r="E3152" s="1"/>
      <c r="J3152" s="3"/>
      <c r="L3152" s="1"/>
    </row>
    <row r="3153" spans="1:12" x14ac:dyDescent="0.3">
      <c r="A3153" s="3"/>
      <c r="C3153" s="1"/>
      <c r="E3153" s="1"/>
      <c r="J3153" s="3"/>
      <c r="L3153" s="1"/>
    </row>
    <row r="3154" spans="1:12" x14ac:dyDescent="0.3">
      <c r="A3154" s="3"/>
      <c r="C3154" s="1"/>
      <c r="E3154" s="1"/>
      <c r="J3154" s="3"/>
      <c r="L3154" s="1"/>
    </row>
    <row r="3155" spans="1:12" x14ac:dyDescent="0.3">
      <c r="A3155" s="3"/>
      <c r="C3155" s="1"/>
      <c r="E3155" s="1"/>
      <c r="J3155" s="3"/>
      <c r="L3155" s="1"/>
    </row>
    <row r="3156" spans="1:12" x14ac:dyDescent="0.3">
      <c r="A3156" s="3"/>
      <c r="C3156" s="1"/>
      <c r="E3156" s="1"/>
      <c r="J3156" s="3"/>
      <c r="L3156" s="1"/>
    </row>
    <row r="3157" spans="1:12" x14ac:dyDescent="0.3">
      <c r="A3157" s="3"/>
      <c r="C3157" s="1"/>
      <c r="E3157" s="1"/>
      <c r="J3157" s="3"/>
      <c r="L3157" s="1"/>
    </row>
    <row r="3158" spans="1:12" x14ac:dyDescent="0.3">
      <c r="A3158" s="3"/>
      <c r="C3158" s="1"/>
      <c r="E3158" s="1"/>
      <c r="J3158" s="3"/>
      <c r="L3158" s="1"/>
    </row>
    <row r="3159" spans="1:12" x14ac:dyDescent="0.3">
      <c r="A3159" s="3"/>
      <c r="C3159" s="1"/>
      <c r="E3159" s="1"/>
      <c r="J3159" s="3"/>
      <c r="L3159" s="1"/>
    </row>
    <row r="3160" spans="1:12" x14ac:dyDescent="0.3">
      <c r="A3160" s="3"/>
      <c r="C3160" s="1"/>
      <c r="E3160" s="1"/>
      <c r="J3160" s="3"/>
      <c r="L3160" s="1"/>
    </row>
    <row r="3161" spans="1:12" x14ac:dyDescent="0.3">
      <c r="A3161" s="3"/>
      <c r="C3161" s="1"/>
      <c r="E3161" s="1"/>
      <c r="J3161" s="3"/>
      <c r="L3161" s="1"/>
    </row>
    <row r="3162" spans="1:12" x14ac:dyDescent="0.3">
      <c r="A3162" s="3"/>
      <c r="C3162" s="1"/>
      <c r="E3162" s="1"/>
      <c r="J3162" s="3"/>
      <c r="L3162" s="1"/>
    </row>
    <row r="3163" spans="1:12" x14ac:dyDescent="0.3">
      <c r="A3163" s="3"/>
      <c r="C3163" s="1"/>
      <c r="E3163" s="1"/>
      <c r="J3163" s="3"/>
      <c r="L3163" s="1"/>
    </row>
    <row r="3164" spans="1:12" x14ac:dyDescent="0.3">
      <c r="A3164" s="3"/>
      <c r="C3164" s="1"/>
      <c r="E3164" s="1"/>
      <c r="J3164" s="3"/>
      <c r="L3164" s="1"/>
    </row>
    <row r="3165" spans="1:12" x14ac:dyDescent="0.3">
      <c r="A3165" s="3"/>
      <c r="C3165" s="1"/>
      <c r="E3165" s="1"/>
      <c r="J3165" s="3"/>
      <c r="L3165" s="1"/>
    </row>
    <row r="3166" spans="1:12" x14ac:dyDescent="0.3">
      <c r="A3166" s="3"/>
      <c r="C3166" s="1"/>
      <c r="E3166" s="1"/>
      <c r="J3166" s="3"/>
      <c r="L3166" s="1"/>
    </row>
    <row r="3167" spans="1:12" x14ac:dyDescent="0.3">
      <c r="A3167" s="3"/>
      <c r="C3167" s="1"/>
      <c r="E3167" s="1"/>
      <c r="J3167" s="3"/>
      <c r="L3167" s="1"/>
    </row>
    <row r="3168" spans="1:12" x14ac:dyDescent="0.3">
      <c r="A3168" s="3"/>
      <c r="C3168" s="1"/>
      <c r="E3168" s="1"/>
      <c r="J3168" s="3"/>
      <c r="L3168" s="1"/>
    </row>
    <row r="3169" spans="1:12" x14ac:dyDescent="0.3">
      <c r="A3169" s="3"/>
      <c r="C3169" s="1"/>
      <c r="E3169" s="1"/>
      <c r="J3169" s="3"/>
      <c r="L3169" s="1"/>
    </row>
    <row r="3170" spans="1:12" x14ac:dyDescent="0.3">
      <c r="A3170" s="3"/>
      <c r="C3170" s="1"/>
      <c r="E3170" s="1"/>
      <c r="J3170" s="3"/>
      <c r="L3170" s="1"/>
    </row>
    <row r="3171" spans="1:12" x14ac:dyDescent="0.3">
      <c r="A3171" s="3"/>
      <c r="C3171" s="1"/>
      <c r="E3171" s="1"/>
      <c r="J3171" s="3"/>
      <c r="L3171" s="1"/>
    </row>
    <row r="3172" spans="1:12" x14ac:dyDescent="0.3">
      <c r="A3172" s="3"/>
      <c r="C3172" s="1"/>
      <c r="E3172" s="1"/>
      <c r="J3172" s="3"/>
      <c r="L3172" s="1"/>
    </row>
    <row r="3173" spans="1:12" x14ac:dyDescent="0.3">
      <c r="A3173" s="3"/>
      <c r="C3173" s="1"/>
      <c r="E3173" s="1"/>
      <c r="J3173" s="3"/>
      <c r="L3173" s="1"/>
    </row>
    <row r="3174" spans="1:12" x14ac:dyDescent="0.3">
      <c r="A3174" s="3"/>
      <c r="C3174" s="1"/>
      <c r="E3174" s="1"/>
      <c r="J3174" s="3"/>
      <c r="L3174" s="1"/>
    </row>
    <row r="3175" spans="1:12" x14ac:dyDescent="0.3">
      <c r="A3175" s="3"/>
      <c r="C3175" s="1"/>
      <c r="E3175" s="1"/>
      <c r="J3175" s="3"/>
      <c r="L3175" s="1"/>
    </row>
    <row r="3176" spans="1:12" x14ac:dyDescent="0.3">
      <c r="A3176" s="3"/>
      <c r="C3176" s="1"/>
      <c r="E3176" s="1"/>
      <c r="J3176" s="3"/>
      <c r="L3176" s="1"/>
    </row>
    <row r="3177" spans="1:12" x14ac:dyDescent="0.3">
      <c r="A3177" s="3"/>
      <c r="C3177" s="1"/>
      <c r="E3177" s="1"/>
      <c r="J3177" s="3"/>
      <c r="L3177" s="1"/>
    </row>
    <row r="3178" spans="1:12" x14ac:dyDescent="0.3">
      <c r="A3178" s="3"/>
      <c r="C3178" s="1"/>
      <c r="E3178" s="1"/>
      <c r="J3178" s="3"/>
      <c r="L3178" s="1"/>
    </row>
    <row r="3179" spans="1:12" x14ac:dyDescent="0.3">
      <c r="A3179" s="3"/>
      <c r="C3179" s="1"/>
      <c r="E3179" s="1"/>
      <c r="J3179" s="3"/>
      <c r="L3179" s="1"/>
    </row>
    <row r="3180" spans="1:12" x14ac:dyDescent="0.3">
      <c r="A3180" s="3"/>
      <c r="C3180" s="1"/>
      <c r="E3180" s="1"/>
      <c r="J3180" s="3"/>
      <c r="L3180" s="1"/>
    </row>
    <row r="3181" spans="1:12" x14ac:dyDescent="0.3">
      <c r="A3181" s="3"/>
      <c r="C3181" s="1"/>
      <c r="E3181" s="1"/>
      <c r="J3181" s="3"/>
      <c r="L3181" s="1"/>
    </row>
    <row r="3182" spans="1:12" x14ac:dyDescent="0.3">
      <c r="A3182" s="3"/>
      <c r="C3182" s="1"/>
      <c r="E3182" s="1"/>
      <c r="J3182" s="3"/>
      <c r="L3182" s="1"/>
    </row>
    <row r="3183" spans="1:12" x14ac:dyDescent="0.3">
      <c r="A3183" s="3"/>
      <c r="C3183" s="1"/>
      <c r="E3183" s="1"/>
      <c r="J3183" s="3"/>
      <c r="L3183" s="1"/>
    </row>
    <row r="3184" spans="1:12" x14ac:dyDescent="0.3">
      <c r="A3184" s="3"/>
      <c r="C3184" s="1"/>
      <c r="E3184" s="1"/>
      <c r="J3184" s="3"/>
      <c r="L3184" s="1"/>
    </row>
    <row r="3185" spans="1:12" x14ac:dyDescent="0.3">
      <c r="A3185" s="3"/>
      <c r="C3185" s="1"/>
      <c r="E3185" s="1"/>
      <c r="J3185" s="3"/>
      <c r="L3185" s="1"/>
    </row>
    <row r="3186" spans="1:12" x14ac:dyDescent="0.3">
      <c r="A3186" s="3"/>
      <c r="C3186" s="1"/>
      <c r="E3186" s="1"/>
      <c r="J3186" s="3"/>
      <c r="L3186" s="1"/>
    </row>
    <row r="3187" spans="1:12" x14ac:dyDescent="0.3">
      <c r="A3187" s="3"/>
      <c r="C3187" s="1"/>
      <c r="E3187" s="1"/>
      <c r="J3187" s="3"/>
      <c r="L3187" s="1"/>
    </row>
    <row r="3188" spans="1:12" x14ac:dyDescent="0.3">
      <c r="A3188" s="3"/>
      <c r="C3188" s="1"/>
      <c r="E3188" s="1"/>
      <c r="J3188" s="3"/>
      <c r="L3188" s="1"/>
    </row>
    <row r="3189" spans="1:12" x14ac:dyDescent="0.3">
      <c r="A3189" s="3"/>
      <c r="C3189" s="1"/>
      <c r="E3189" s="1"/>
      <c r="J3189" s="3"/>
      <c r="L3189" s="1"/>
    </row>
    <row r="3190" spans="1:12" x14ac:dyDescent="0.3">
      <c r="A3190" s="3"/>
      <c r="C3190" s="1"/>
      <c r="E3190" s="1"/>
      <c r="J3190" s="3"/>
      <c r="L3190" s="1"/>
    </row>
    <row r="3191" spans="1:12" x14ac:dyDescent="0.3">
      <c r="A3191" s="3"/>
      <c r="C3191" s="1"/>
      <c r="E3191" s="1"/>
      <c r="J3191" s="3"/>
      <c r="L3191" s="1"/>
    </row>
    <row r="3192" spans="1:12" x14ac:dyDescent="0.3">
      <c r="A3192" s="3"/>
      <c r="C3192" s="1"/>
      <c r="E3192" s="1"/>
      <c r="J3192" s="3"/>
      <c r="L3192" s="1"/>
    </row>
    <row r="3193" spans="1:12" x14ac:dyDescent="0.3">
      <c r="A3193" s="3"/>
      <c r="C3193" s="1"/>
      <c r="E3193" s="1"/>
      <c r="J3193" s="3"/>
      <c r="L3193" s="1"/>
    </row>
    <row r="3194" spans="1:12" x14ac:dyDescent="0.3">
      <c r="A3194" s="3"/>
      <c r="C3194" s="1"/>
      <c r="E3194" s="1"/>
      <c r="J3194" s="3"/>
      <c r="L3194" s="1"/>
    </row>
    <row r="3195" spans="1:12" x14ac:dyDescent="0.3">
      <c r="A3195" s="3"/>
      <c r="C3195" s="1"/>
      <c r="E3195" s="1"/>
      <c r="J3195" s="3"/>
      <c r="L3195" s="1"/>
    </row>
    <row r="3196" spans="1:12" x14ac:dyDescent="0.3">
      <c r="A3196" s="3"/>
      <c r="C3196" s="1"/>
      <c r="E3196" s="1"/>
      <c r="J3196" s="3"/>
      <c r="L3196" s="1"/>
    </row>
    <row r="3197" spans="1:12" x14ac:dyDescent="0.3">
      <c r="A3197" s="3"/>
      <c r="C3197" s="1"/>
      <c r="E3197" s="1"/>
      <c r="J3197" s="3"/>
      <c r="L3197" s="1"/>
    </row>
    <row r="3198" spans="1:12" x14ac:dyDescent="0.3">
      <c r="A3198" s="3"/>
      <c r="C3198" s="1"/>
      <c r="E3198" s="1"/>
      <c r="J3198" s="3"/>
      <c r="L3198" s="1"/>
    </row>
    <row r="3199" spans="1:12" x14ac:dyDescent="0.3">
      <c r="A3199" s="3"/>
      <c r="C3199" s="1"/>
      <c r="E3199" s="1"/>
      <c r="J3199" s="3"/>
      <c r="L3199" s="1"/>
    </row>
    <row r="3200" spans="1:12" x14ac:dyDescent="0.3">
      <c r="A3200" s="3"/>
      <c r="C3200" s="1"/>
      <c r="E3200" s="1"/>
      <c r="J3200" s="3"/>
      <c r="L3200" s="1"/>
    </row>
    <row r="3201" spans="1:12" x14ac:dyDescent="0.3">
      <c r="A3201" s="3"/>
      <c r="C3201" s="1"/>
      <c r="E3201" s="1"/>
      <c r="J3201" s="3"/>
      <c r="L3201" s="1"/>
    </row>
    <row r="3202" spans="1:12" x14ac:dyDescent="0.3">
      <c r="A3202" s="3"/>
      <c r="C3202" s="1"/>
      <c r="E3202" s="1"/>
      <c r="J3202" s="3"/>
      <c r="L3202" s="1"/>
    </row>
    <row r="3203" spans="1:12" x14ac:dyDescent="0.3">
      <c r="A3203" s="3"/>
      <c r="C3203" s="1"/>
      <c r="E3203" s="1"/>
      <c r="J3203" s="3"/>
      <c r="L3203" s="1"/>
    </row>
    <row r="3204" spans="1:12" x14ac:dyDescent="0.3">
      <c r="A3204" s="3"/>
      <c r="C3204" s="1"/>
      <c r="E3204" s="1"/>
      <c r="J3204" s="3"/>
      <c r="L3204" s="1"/>
    </row>
    <row r="3205" spans="1:12" x14ac:dyDescent="0.3">
      <c r="A3205" s="3"/>
      <c r="C3205" s="1"/>
      <c r="E3205" s="1"/>
      <c r="J3205" s="3"/>
      <c r="L3205" s="1"/>
    </row>
    <row r="3206" spans="1:12" x14ac:dyDescent="0.3">
      <c r="A3206" s="3"/>
      <c r="C3206" s="1"/>
      <c r="E3206" s="1"/>
      <c r="J3206" s="3"/>
      <c r="L3206" s="1"/>
    </row>
    <row r="3207" spans="1:12" x14ac:dyDescent="0.3">
      <c r="A3207" s="3"/>
      <c r="C3207" s="1"/>
      <c r="E3207" s="1"/>
      <c r="J3207" s="3"/>
      <c r="L3207" s="1"/>
    </row>
    <row r="3208" spans="1:12" x14ac:dyDescent="0.3">
      <c r="A3208" s="3"/>
      <c r="C3208" s="1"/>
      <c r="E3208" s="1"/>
      <c r="J3208" s="3"/>
      <c r="L3208" s="1"/>
    </row>
    <row r="3209" spans="1:12" x14ac:dyDescent="0.3">
      <c r="A3209" s="3"/>
      <c r="C3209" s="1"/>
      <c r="E3209" s="1"/>
      <c r="J3209" s="3"/>
      <c r="L3209" s="1"/>
    </row>
    <row r="3210" spans="1:12" x14ac:dyDescent="0.3">
      <c r="A3210" s="3"/>
      <c r="C3210" s="1"/>
      <c r="E3210" s="1"/>
      <c r="J3210" s="3"/>
      <c r="L3210" s="1"/>
    </row>
    <row r="3211" spans="1:12" x14ac:dyDescent="0.3">
      <c r="A3211" s="3"/>
      <c r="C3211" s="1"/>
      <c r="E3211" s="1"/>
      <c r="J3211" s="3"/>
      <c r="L3211" s="1"/>
    </row>
    <row r="3212" spans="1:12" x14ac:dyDescent="0.3">
      <c r="A3212" s="3"/>
      <c r="C3212" s="1"/>
      <c r="E3212" s="1"/>
      <c r="J3212" s="3"/>
      <c r="L3212" s="1"/>
    </row>
    <row r="3213" spans="1:12" x14ac:dyDescent="0.3">
      <c r="A3213" s="3"/>
      <c r="C3213" s="1"/>
      <c r="E3213" s="1"/>
      <c r="J3213" s="3"/>
      <c r="L3213" s="1"/>
    </row>
    <row r="3214" spans="1:12" x14ac:dyDescent="0.3">
      <c r="A3214" s="3"/>
      <c r="C3214" s="1"/>
      <c r="E3214" s="1"/>
      <c r="J3214" s="3"/>
      <c r="L3214" s="1"/>
    </row>
    <row r="3215" spans="1:12" x14ac:dyDescent="0.3">
      <c r="A3215" s="3"/>
      <c r="C3215" s="1"/>
      <c r="E3215" s="1"/>
      <c r="J3215" s="3"/>
      <c r="L3215" s="1"/>
    </row>
    <row r="3216" spans="1:12" x14ac:dyDescent="0.3">
      <c r="A3216" s="3"/>
      <c r="C3216" s="1"/>
      <c r="E3216" s="1"/>
      <c r="J3216" s="3"/>
      <c r="L3216" s="1"/>
    </row>
    <row r="3217" spans="1:12" x14ac:dyDescent="0.3">
      <c r="A3217" s="3"/>
      <c r="C3217" s="1"/>
      <c r="E3217" s="1"/>
      <c r="J3217" s="3"/>
      <c r="L3217" s="1"/>
    </row>
    <row r="3218" spans="1:12" x14ac:dyDescent="0.3">
      <c r="A3218" s="3"/>
      <c r="C3218" s="1"/>
      <c r="E3218" s="1"/>
      <c r="J3218" s="3"/>
      <c r="L3218" s="1"/>
    </row>
    <row r="3219" spans="1:12" x14ac:dyDescent="0.3">
      <c r="A3219" s="3"/>
      <c r="C3219" s="1"/>
      <c r="E3219" s="1"/>
      <c r="J3219" s="3"/>
      <c r="L3219" s="1"/>
    </row>
    <row r="3220" spans="1:12" x14ac:dyDescent="0.3">
      <c r="A3220" s="3"/>
      <c r="C3220" s="1"/>
      <c r="E3220" s="1"/>
      <c r="J3220" s="3"/>
      <c r="L3220" s="1"/>
    </row>
    <row r="3221" spans="1:12" x14ac:dyDescent="0.3">
      <c r="A3221" s="3"/>
      <c r="C3221" s="1"/>
      <c r="E3221" s="1"/>
      <c r="J3221" s="3"/>
      <c r="L3221" s="1"/>
    </row>
    <row r="3222" spans="1:12" x14ac:dyDescent="0.3">
      <c r="A3222" s="3"/>
      <c r="C3222" s="1"/>
      <c r="E3222" s="1"/>
      <c r="J3222" s="3"/>
      <c r="L3222" s="1"/>
    </row>
    <row r="3223" spans="1:12" x14ac:dyDescent="0.3">
      <c r="A3223" s="3"/>
      <c r="C3223" s="1"/>
      <c r="E3223" s="1"/>
      <c r="J3223" s="3"/>
      <c r="L3223" s="1"/>
    </row>
    <row r="3224" spans="1:12" x14ac:dyDescent="0.3">
      <c r="A3224" s="3"/>
      <c r="C3224" s="1"/>
      <c r="E3224" s="1"/>
      <c r="J3224" s="3"/>
      <c r="L3224" s="1"/>
    </row>
    <row r="3225" spans="1:12" x14ac:dyDescent="0.3">
      <c r="A3225" s="3"/>
      <c r="C3225" s="1"/>
      <c r="E3225" s="1"/>
      <c r="J3225" s="3"/>
      <c r="L3225" s="1"/>
    </row>
    <row r="3226" spans="1:12" x14ac:dyDescent="0.3">
      <c r="A3226" s="3"/>
      <c r="C3226" s="1"/>
      <c r="E3226" s="1"/>
      <c r="J3226" s="3"/>
      <c r="L3226" s="1"/>
    </row>
    <row r="3227" spans="1:12" x14ac:dyDescent="0.3">
      <c r="A3227" s="3"/>
      <c r="C3227" s="1"/>
      <c r="E3227" s="1"/>
      <c r="J3227" s="3"/>
      <c r="L3227" s="1"/>
    </row>
    <row r="3228" spans="1:12" x14ac:dyDescent="0.3">
      <c r="A3228" s="3"/>
      <c r="C3228" s="1"/>
      <c r="E3228" s="1"/>
      <c r="J3228" s="3"/>
      <c r="L3228" s="1"/>
    </row>
    <row r="3229" spans="1:12" x14ac:dyDescent="0.3">
      <c r="A3229" s="3"/>
      <c r="C3229" s="1"/>
      <c r="E3229" s="1"/>
      <c r="J3229" s="3"/>
      <c r="L3229" s="1"/>
    </row>
    <row r="3230" spans="1:12" x14ac:dyDescent="0.3">
      <c r="A3230" s="3"/>
      <c r="C3230" s="1"/>
      <c r="E3230" s="1"/>
      <c r="J3230" s="3"/>
      <c r="L3230" s="1"/>
    </row>
    <row r="3231" spans="1:12" x14ac:dyDescent="0.3">
      <c r="A3231" s="3"/>
      <c r="C3231" s="1"/>
      <c r="E3231" s="1"/>
      <c r="J3231" s="3"/>
      <c r="L3231" s="1"/>
    </row>
    <row r="3232" spans="1:12" x14ac:dyDescent="0.3">
      <c r="A3232" s="3"/>
      <c r="C3232" s="1"/>
      <c r="E3232" s="1"/>
      <c r="J3232" s="3"/>
      <c r="L3232" s="1"/>
    </row>
    <row r="3233" spans="1:12" x14ac:dyDescent="0.3">
      <c r="A3233" s="3"/>
      <c r="C3233" s="1"/>
      <c r="E3233" s="1"/>
      <c r="J3233" s="3"/>
      <c r="L3233" s="1"/>
    </row>
    <row r="3234" spans="1:12" x14ac:dyDescent="0.3">
      <c r="A3234" s="3"/>
      <c r="C3234" s="1"/>
      <c r="E3234" s="1"/>
      <c r="J3234" s="3"/>
      <c r="L3234" s="1"/>
    </row>
    <row r="3235" spans="1:12" x14ac:dyDescent="0.3">
      <c r="A3235" s="3"/>
      <c r="C3235" s="1"/>
      <c r="E3235" s="1"/>
      <c r="J3235" s="3"/>
      <c r="L3235" s="1"/>
    </row>
    <row r="3236" spans="1:12" x14ac:dyDescent="0.3">
      <c r="A3236" s="3"/>
      <c r="C3236" s="1"/>
      <c r="E3236" s="1"/>
      <c r="J3236" s="3"/>
      <c r="L3236" s="1"/>
    </row>
    <row r="3237" spans="1:12" x14ac:dyDescent="0.3">
      <c r="A3237" s="3"/>
      <c r="C3237" s="1"/>
      <c r="E3237" s="1"/>
      <c r="J3237" s="3"/>
      <c r="L3237" s="1"/>
    </row>
    <row r="3238" spans="1:12" x14ac:dyDescent="0.3">
      <c r="A3238" s="3"/>
      <c r="C3238" s="1"/>
      <c r="E3238" s="1"/>
      <c r="J3238" s="3"/>
      <c r="L3238" s="1"/>
    </row>
    <row r="3239" spans="1:12" x14ac:dyDescent="0.3">
      <c r="A3239" s="3"/>
      <c r="C3239" s="1"/>
      <c r="E3239" s="1"/>
      <c r="J3239" s="3"/>
      <c r="L3239" s="1"/>
    </row>
    <row r="3240" spans="1:12" x14ac:dyDescent="0.3">
      <c r="A3240" s="3"/>
      <c r="C3240" s="1"/>
      <c r="E3240" s="1"/>
      <c r="J3240" s="3"/>
      <c r="L3240" s="1"/>
    </row>
    <row r="3241" spans="1:12" x14ac:dyDescent="0.3">
      <c r="A3241" s="3"/>
      <c r="C3241" s="1"/>
      <c r="E3241" s="1"/>
      <c r="J3241" s="3"/>
      <c r="L3241" s="1"/>
    </row>
    <row r="3242" spans="1:12" x14ac:dyDescent="0.3">
      <c r="A3242" s="3"/>
      <c r="C3242" s="1"/>
      <c r="E3242" s="1"/>
      <c r="J3242" s="3"/>
      <c r="L3242" s="1"/>
    </row>
    <row r="3243" spans="1:12" x14ac:dyDescent="0.3">
      <c r="A3243" s="3"/>
      <c r="C3243" s="1"/>
      <c r="E3243" s="1"/>
      <c r="J3243" s="3"/>
      <c r="L3243" s="1"/>
    </row>
    <row r="3244" spans="1:12" x14ac:dyDescent="0.3">
      <c r="A3244" s="3"/>
      <c r="C3244" s="1"/>
      <c r="E3244" s="1"/>
      <c r="J3244" s="3"/>
      <c r="L3244" s="1"/>
    </row>
    <row r="3245" spans="1:12" x14ac:dyDescent="0.3">
      <c r="A3245" s="3"/>
      <c r="C3245" s="1"/>
      <c r="E3245" s="1"/>
      <c r="J3245" s="3"/>
      <c r="L3245" s="1"/>
    </row>
    <row r="3246" spans="1:12" x14ac:dyDescent="0.3">
      <c r="A3246" s="3"/>
      <c r="C3246" s="1"/>
      <c r="E3246" s="1"/>
      <c r="J3246" s="3"/>
      <c r="L3246" s="1"/>
    </row>
    <row r="3247" spans="1:12" x14ac:dyDescent="0.3">
      <c r="A3247" s="3"/>
      <c r="C3247" s="1"/>
      <c r="E3247" s="1"/>
      <c r="J3247" s="3"/>
      <c r="L3247" s="1"/>
    </row>
    <row r="3248" spans="1:12" x14ac:dyDescent="0.3">
      <c r="A3248" s="3"/>
      <c r="C3248" s="1"/>
      <c r="E3248" s="1"/>
      <c r="J3248" s="3"/>
      <c r="L3248" s="1"/>
    </row>
    <row r="3249" spans="1:12" x14ac:dyDescent="0.3">
      <c r="A3249" s="3"/>
      <c r="C3249" s="1"/>
      <c r="E3249" s="1"/>
      <c r="J3249" s="3"/>
      <c r="L3249" s="1"/>
    </row>
    <row r="3250" spans="1:12" x14ac:dyDescent="0.3">
      <c r="A3250" s="3"/>
      <c r="C3250" s="1"/>
      <c r="E3250" s="1"/>
      <c r="J3250" s="3"/>
      <c r="L3250" s="1"/>
    </row>
    <row r="3251" spans="1:12" x14ac:dyDescent="0.3">
      <c r="A3251" s="3"/>
      <c r="C3251" s="1"/>
      <c r="E3251" s="1"/>
      <c r="J3251" s="3"/>
      <c r="L3251" s="1"/>
    </row>
    <row r="3252" spans="1:12" x14ac:dyDescent="0.3">
      <c r="A3252" s="3"/>
      <c r="C3252" s="1"/>
      <c r="E3252" s="1"/>
      <c r="J3252" s="3"/>
      <c r="L3252" s="1"/>
    </row>
    <row r="3253" spans="1:12" x14ac:dyDescent="0.3">
      <c r="A3253" s="3"/>
      <c r="C3253" s="1"/>
      <c r="E3253" s="1"/>
      <c r="J3253" s="3"/>
      <c r="L3253" s="1"/>
    </row>
    <row r="3254" spans="1:12" x14ac:dyDescent="0.3">
      <c r="A3254" s="3"/>
      <c r="C3254" s="1"/>
      <c r="E3254" s="1"/>
      <c r="J3254" s="3"/>
      <c r="L3254" s="1"/>
    </row>
    <row r="3255" spans="1:12" x14ac:dyDescent="0.3">
      <c r="A3255" s="3"/>
      <c r="C3255" s="1"/>
      <c r="E3255" s="1"/>
      <c r="J3255" s="3"/>
      <c r="L3255" s="1"/>
    </row>
    <row r="3256" spans="1:12" x14ac:dyDescent="0.3">
      <c r="A3256" s="3"/>
      <c r="C3256" s="1"/>
      <c r="E3256" s="1"/>
      <c r="J3256" s="3"/>
      <c r="L3256" s="1"/>
    </row>
    <row r="3257" spans="1:12" x14ac:dyDescent="0.3">
      <c r="A3257" s="3"/>
      <c r="C3257" s="1"/>
      <c r="E3257" s="1"/>
      <c r="J3257" s="3"/>
      <c r="L3257" s="1"/>
    </row>
    <row r="3258" spans="1:12" x14ac:dyDescent="0.3">
      <c r="A3258" s="3"/>
      <c r="C3258" s="1"/>
      <c r="E3258" s="1"/>
      <c r="J3258" s="3"/>
      <c r="L3258" s="1"/>
    </row>
    <row r="3259" spans="1:12" x14ac:dyDescent="0.3">
      <c r="A3259" s="3"/>
      <c r="C3259" s="1"/>
      <c r="E3259" s="1"/>
      <c r="J3259" s="3"/>
      <c r="L3259" s="1"/>
    </row>
    <row r="3260" spans="1:12" x14ac:dyDescent="0.3">
      <c r="A3260" s="3"/>
      <c r="C3260" s="1"/>
      <c r="E3260" s="1"/>
      <c r="J3260" s="3"/>
      <c r="L3260" s="1"/>
    </row>
    <row r="3261" spans="1:12" x14ac:dyDescent="0.3">
      <c r="A3261" s="3"/>
      <c r="C3261" s="1"/>
      <c r="E3261" s="1"/>
      <c r="J3261" s="3"/>
      <c r="L3261" s="1"/>
    </row>
    <row r="3262" spans="1:12" x14ac:dyDescent="0.3">
      <c r="A3262" s="3"/>
      <c r="C3262" s="1"/>
      <c r="E3262" s="1"/>
      <c r="J3262" s="3"/>
      <c r="L3262" s="1"/>
    </row>
    <row r="3263" spans="1:12" x14ac:dyDescent="0.3">
      <c r="A3263" s="3"/>
      <c r="C3263" s="1"/>
      <c r="E3263" s="1"/>
      <c r="J3263" s="3"/>
      <c r="L3263" s="1"/>
    </row>
    <row r="3264" spans="1:12" x14ac:dyDescent="0.3">
      <c r="A3264" s="3"/>
      <c r="C3264" s="1"/>
      <c r="E3264" s="1"/>
      <c r="J3264" s="3"/>
      <c r="L3264" s="1"/>
    </row>
    <row r="3265" spans="1:12" x14ac:dyDescent="0.3">
      <c r="A3265" s="3"/>
      <c r="C3265" s="1"/>
      <c r="E3265" s="1"/>
      <c r="J3265" s="3"/>
      <c r="L3265" s="1"/>
    </row>
    <row r="3266" spans="1:12" x14ac:dyDescent="0.3">
      <c r="A3266" s="3"/>
      <c r="C3266" s="1"/>
      <c r="E3266" s="1"/>
      <c r="J3266" s="3"/>
      <c r="L3266" s="1"/>
    </row>
    <row r="3267" spans="1:12" x14ac:dyDescent="0.3">
      <c r="A3267" s="3"/>
      <c r="C3267" s="1"/>
      <c r="E3267" s="1"/>
      <c r="J3267" s="3"/>
      <c r="L3267" s="1"/>
    </row>
    <row r="3268" spans="1:12" x14ac:dyDescent="0.3">
      <c r="A3268" s="3"/>
      <c r="C3268" s="1"/>
      <c r="E3268" s="1"/>
      <c r="J3268" s="3"/>
      <c r="L3268" s="1"/>
    </row>
    <row r="3269" spans="1:12" x14ac:dyDescent="0.3">
      <c r="A3269" s="3"/>
      <c r="C3269" s="1"/>
      <c r="E3269" s="1"/>
      <c r="J3269" s="3"/>
      <c r="L3269" s="1"/>
    </row>
    <row r="3270" spans="1:12" x14ac:dyDescent="0.3">
      <c r="A3270" s="3"/>
      <c r="C3270" s="1"/>
      <c r="E3270" s="1"/>
      <c r="J3270" s="3"/>
      <c r="L3270" s="1"/>
    </row>
    <row r="3271" spans="1:12" x14ac:dyDescent="0.3">
      <c r="A3271" s="3"/>
      <c r="C3271" s="1"/>
      <c r="E3271" s="1"/>
      <c r="J3271" s="3"/>
      <c r="L3271" s="1"/>
    </row>
    <row r="3272" spans="1:12" x14ac:dyDescent="0.3">
      <c r="A3272" s="3"/>
      <c r="C3272" s="1"/>
      <c r="E3272" s="1"/>
      <c r="J3272" s="3"/>
      <c r="L3272" s="1"/>
    </row>
    <row r="3273" spans="1:12" x14ac:dyDescent="0.3">
      <c r="A3273" s="3"/>
      <c r="C3273" s="1"/>
      <c r="E3273" s="1"/>
      <c r="J3273" s="3"/>
      <c r="L3273" s="1"/>
    </row>
    <row r="3274" spans="1:12" x14ac:dyDescent="0.3">
      <c r="A3274" s="3"/>
      <c r="C3274" s="1"/>
      <c r="E3274" s="1"/>
      <c r="J3274" s="3"/>
      <c r="L3274" s="1"/>
    </row>
    <row r="3275" spans="1:12" x14ac:dyDescent="0.3">
      <c r="A3275" s="3"/>
      <c r="C3275" s="1"/>
      <c r="E3275" s="1"/>
      <c r="J3275" s="3"/>
      <c r="L3275" s="1"/>
    </row>
    <row r="3276" spans="1:12" x14ac:dyDescent="0.3">
      <c r="A3276" s="3"/>
      <c r="C3276" s="1"/>
      <c r="E3276" s="1"/>
      <c r="J3276" s="3"/>
      <c r="L3276" s="1"/>
    </row>
    <row r="3277" spans="1:12" x14ac:dyDescent="0.3">
      <c r="A3277" s="3"/>
      <c r="C3277" s="1"/>
      <c r="E3277" s="1"/>
      <c r="J3277" s="3"/>
      <c r="L3277" s="1"/>
    </row>
    <row r="3278" spans="1:12" x14ac:dyDescent="0.3">
      <c r="A3278" s="3"/>
      <c r="C3278" s="1"/>
      <c r="E3278" s="1"/>
      <c r="J3278" s="3"/>
      <c r="L3278" s="1"/>
    </row>
    <row r="3279" spans="1:12" x14ac:dyDescent="0.3">
      <c r="A3279" s="3"/>
      <c r="C3279" s="1"/>
      <c r="E3279" s="1"/>
      <c r="J3279" s="3"/>
      <c r="L3279" s="1"/>
    </row>
    <row r="3280" spans="1:12" x14ac:dyDescent="0.3">
      <c r="A3280" s="3"/>
      <c r="C3280" s="1"/>
      <c r="E3280" s="1"/>
      <c r="J3280" s="3"/>
      <c r="L3280" s="1"/>
    </row>
    <row r="3281" spans="1:12" x14ac:dyDescent="0.3">
      <c r="A3281" s="3"/>
      <c r="C3281" s="1"/>
      <c r="E3281" s="1"/>
      <c r="J3281" s="3"/>
      <c r="L3281" s="1"/>
    </row>
    <row r="3282" spans="1:12" x14ac:dyDescent="0.3">
      <c r="A3282" s="3"/>
      <c r="C3282" s="1"/>
      <c r="E3282" s="1"/>
      <c r="J3282" s="3"/>
      <c r="L3282" s="1"/>
    </row>
    <row r="3283" spans="1:12" x14ac:dyDescent="0.3">
      <c r="A3283" s="3"/>
      <c r="C3283" s="1"/>
      <c r="E3283" s="1"/>
      <c r="J3283" s="3"/>
      <c r="L3283" s="1"/>
    </row>
    <row r="3284" spans="1:12" x14ac:dyDescent="0.3">
      <c r="A3284" s="3"/>
      <c r="C3284" s="1"/>
      <c r="E3284" s="1"/>
      <c r="J3284" s="3"/>
      <c r="L3284" s="1"/>
    </row>
    <row r="3285" spans="1:12" x14ac:dyDescent="0.3">
      <c r="A3285" s="3"/>
      <c r="C3285" s="1"/>
      <c r="E3285" s="1"/>
      <c r="J3285" s="3"/>
      <c r="L3285" s="1"/>
    </row>
    <row r="3286" spans="1:12" x14ac:dyDescent="0.3">
      <c r="A3286" s="3"/>
      <c r="C3286" s="1"/>
      <c r="E3286" s="1"/>
      <c r="J3286" s="3"/>
      <c r="L3286" s="1"/>
    </row>
    <row r="3287" spans="1:12" x14ac:dyDescent="0.3">
      <c r="A3287" s="3"/>
      <c r="C3287" s="1"/>
      <c r="E3287" s="1"/>
      <c r="J3287" s="3"/>
      <c r="L3287" s="1"/>
    </row>
    <row r="3288" spans="1:12" x14ac:dyDescent="0.3">
      <c r="A3288" s="3"/>
      <c r="C3288" s="1"/>
      <c r="E3288" s="1"/>
      <c r="J3288" s="3"/>
      <c r="L3288" s="1"/>
    </row>
    <row r="3289" spans="1:12" x14ac:dyDescent="0.3">
      <c r="A3289" s="3"/>
      <c r="C3289" s="1"/>
      <c r="E3289" s="1"/>
      <c r="J3289" s="3"/>
      <c r="L3289" s="1"/>
    </row>
    <row r="3290" spans="1:12" x14ac:dyDescent="0.3">
      <c r="A3290" s="3"/>
      <c r="C3290" s="1"/>
      <c r="E3290" s="1"/>
      <c r="J3290" s="3"/>
      <c r="L3290" s="1"/>
    </row>
    <row r="3291" spans="1:12" x14ac:dyDescent="0.3">
      <c r="A3291" s="3"/>
      <c r="C3291" s="1"/>
      <c r="E3291" s="1"/>
      <c r="J3291" s="3"/>
      <c r="L3291" s="1"/>
    </row>
    <row r="3292" spans="1:12" x14ac:dyDescent="0.3">
      <c r="A3292" s="3"/>
      <c r="C3292" s="1"/>
      <c r="E3292" s="1"/>
      <c r="J3292" s="3"/>
      <c r="L3292" s="1"/>
    </row>
    <row r="3293" spans="1:12" x14ac:dyDescent="0.3">
      <c r="A3293" s="3"/>
      <c r="C3293" s="1"/>
      <c r="E3293" s="1"/>
      <c r="J3293" s="3"/>
      <c r="L3293" s="1"/>
    </row>
    <row r="3294" spans="1:12" x14ac:dyDescent="0.3">
      <c r="A3294" s="3"/>
      <c r="C3294" s="1"/>
      <c r="E3294" s="1"/>
      <c r="J3294" s="3"/>
      <c r="L3294" s="1"/>
    </row>
    <row r="3295" spans="1:12" x14ac:dyDescent="0.3">
      <c r="A3295" s="3"/>
      <c r="C3295" s="1"/>
      <c r="E3295" s="1"/>
      <c r="J3295" s="3"/>
      <c r="L3295" s="1"/>
    </row>
    <row r="3296" spans="1:12" x14ac:dyDescent="0.3">
      <c r="A3296" s="3"/>
      <c r="C3296" s="1"/>
      <c r="E3296" s="1"/>
      <c r="J3296" s="3"/>
      <c r="L3296" s="1"/>
    </row>
    <row r="3297" spans="1:12" x14ac:dyDescent="0.3">
      <c r="A3297" s="3"/>
      <c r="C3297" s="1"/>
      <c r="E3297" s="1"/>
      <c r="J3297" s="3"/>
      <c r="L3297" s="1"/>
    </row>
    <row r="3298" spans="1:12" x14ac:dyDescent="0.3">
      <c r="A3298" s="3"/>
      <c r="C3298" s="1"/>
      <c r="E3298" s="1"/>
      <c r="J3298" s="3"/>
      <c r="L3298" s="1"/>
    </row>
    <row r="3299" spans="1:12" x14ac:dyDescent="0.3">
      <c r="A3299" s="3"/>
      <c r="C3299" s="1"/>
      <c r="E3299" s="1"/>
      <c r="J3299" s="3"/>
      <c r="L3299" s="1"/>
    </row>
    <row r="3300" spans="1:12" x14ac:dyDescent="0.3">
      <c r="A3300" s="3"/>
      <c r="C3300" s="1"/>
      <c r="E3300" s="1"/>
      <c r="J3300" s="3"/>
      <c r="L3300" s="1"/>
    </row>
    <row r="3301" spans="1:12" x14ac:dyDescent="0.3">
      <c r="A3301" s="3"/>
      <c r="C3301" s="1"/>
      <c r="E3301" s="1"/>
      <c r="J3301" s="3"/>
      <c r="L3301" s="1"/>
    </row>
    <row r="3302" spans="1:12" x14ac:dyDescent="0.3">
      <c r="A3302" s="3"/>
      <c r="C3302" s="1"/>
      <c r="E3302" s="1"/>
      <c r="J3302" s="3"/>
      <c r="L3302" s="1"/>
    </row>
    <row r="3303" spans="1:12" x14ac:dyDescent="0.3">
      <c r="A3303" s="3"/>
      <c r="C3303" s="1"/>
      <c r="E3303" s="1"/>
      <c r="J3303" s="3"/>
      <c r="L3303" s="1"/>
    </row>
    <row r="3304" spans="1:12" x14ac:dyDescent="0.3">
      <c r="A3304" s="3"/>
      <c r="C3304" s="1"/>
      <c r="E3304" s="1"/>
      <c r="J3304" s="3"/>
      <c r="L3304" s="1"/>
    </row>
    <row r="3305" spans="1:12" x14ac:dyDescent="0.3">
      <c r="A3305" s="3"/>
      <c r="C3305" s="1"/>
      <c r="E3305" s="1"/>
      <c r="J3305" s="3"/>
      <c r="L3305" s="1"/>
    </row>
    <row r="3306" spans="1:12" x14ac:dyDescent="0.3">
      <c r="A3306" s="3"/>
      <c r="C3306" s="1"/>
      <c r="E3306" s="1"/>
      <c r="J3306" s="3"/>
      <c r="L3306" s="1"/>
    </row>
    <row r="3307" spans="1:12" x14ac:dyDescent="0.3">
      <c r="A3307" s="3"/>
      <c r="C3307" s="1"/>
      <c r="E3307" s="1"/>
      <c r="J3307" s="3"/>
      <c r="L3307" s="1"/>
    </row>
    <row r="3308" spans="1:12" x14ac:dyDescent="0.3">
      <c r="A3308" s="3"/>
      <c r="C3308" s="1"/>
      <c r="E3308" s="1"/>
      <c r="J3308" s="3"/>
      <c r="L3308" s="1"/>
    </row>
    <row r="3309" spans="1:12" x14ac:dyDescent="0.3">
      <c r="A3309" s="3"/>
      <c r="C3309" s="1"/>
      <c r="E3309" s="1"/>
      <c r="J3309" s="3"/>
      <c r="L3309" s="1"/>
    </row>
    <row r="3310" spans="1:12" x14ac:dyDescent="0.3">
      <c r="A3310" s="3"/>
      <c r="C3310" s="1"/>
      <c r="E3310" s="1"/>
      <c r="J3310" s="3"/>
      <c r="L3310" s="1"/>
    </row>
    <row r="3311" spans="1:12" x14ac:dyDescent="0.3">
      <c r="A3311" s="3"/>
      <c r="C3311" s="1"/>
      <c r="E3311" s="1"/>
      <c r="J3311" s="3"/>
      <c r="L3311" s="1"/>
    </row>
    <row r="3312" spans="1:12" x14ac:dyDescent="0.3">
      <c r="A3312" s="3"/>
      <c r="C3312" s="1"/>
      <c r="E3312" s="1"/>
      <c r="J3312" s="3"/>
      <c r="L3312" s="1"/>
    </row>
    <row r="3313" spans="1:12" x14ac:dyDescent="0.3">
      <c r="A3313" s="3"/>
      <c r="C3313" s="1"/>
      <c r="E3313" s="1"/>
      <c r="J3313" s="3"/>
      <c r="L3313" s="1"/>
    </row>
    <row r="3314" spans="1:12" x14ac:dyDescent="0.3">
      <c r="A3314" s="3"/>
      <c r="C3314" s="1"/>
      <c r="E3314" s="1"/>
      <c r="J3314" s="3"/>
      <c r="L3314" s="1"/>
    </row>
    <row r="3315" spans="1:12" x14ac:dyDescent="0.3">
      <c r="A3315" s="3"/>
      <c r="C3315" s="1"/>
      <c r="E3315" s="1"/>
      <c r="J3315" s="3"/>
      <c r="L3315" s="1"/>
    </row>
    <row r="3316" spans="1:12" x14ac:dyDescent="0.3">
      <c r="A3316" s="3"/>
      <c r="C3316" s="1"/>
      <c r="E3316" s="1"/>
      <c r="J3316" s="3"/>
      <c r="L3316" s="1"/>
    </row>
    <row r="3317" spans="1:12" x14ac:dyDescent="0.3">
      <c r="A3317" s="3"/>
      <c r="C3317" s="1"/>
      <c r="E3317" s="1"/>
      <c r="J3317" s="3"/>
      <c r="L3317" s="1"/>
    </row>
    <row r="3318" spans="1:12" x14ac:dyDescent="0.3">
      <c r="A3318" s="3"/>
      <c r="C3318" s="1"/>
      <c r="E3318" s="1"/>
      <c r="J3318" s="3"/>
      <c r="L3318" s="1"/>
    </row>
    <row r="3319" spans="1:12" x14ac:dyDescent="0.3">
      <c r="A3319" s="3"/>
      <c r="C3319" s="1"/>
      <c r="E3319" s="1"/>
      <c r="J3319" s="3"/>
      <c r="L3319" s="1"/>
    </row>
    <row r="3320" spans="1:12" x14ac:dyDescent="0.3">
      <c r="A3320" s="3"/>
      <c r="C3320" s="1"/>
      <c r="E3320" s="1"/>
      <c r="J3320" s="3"/>
      <c r="L3320" s="1"/>
    </row>
    <row r="3321" spans="1:12" x14ac:dyDescent="0.3">
      <c r="A3321" s="3"/>
      <c r="C3321" s="1"/>
      <c r="E3321" s="1"/>
      <c r="J3321" s="3"/>
      <c r="L3321" s="1"/>
    </row>
    <row r="3322" spans="1:12" x14ac:dyDescent="0.3">
      <c r="A3322" s="3"/>
      <c r="C3322" s="1"/>
      <c r="E3322" s="1"/>
      <c r="J3322" s="3"/>
      <c r="L3322" s="1"/>
    </row>
    <row r="3323" spans="1:12" x14ac:dyDescent="0.3">
      <c r="A3323" s="3"/>
      <c r="C3323" s="1"/>
      <c r="E3323" s="1"/>
      <c r="J3323" s="3"/>
      <c r="L3323" s="1"/>
    </row>
    <row r="3324" spans="1:12" x14ac:dyDescent="0.3">
      <c r="A3324" s="3"/>
      <c r="C3324" s="1"/>
      <c r="E3324" s="1"/>
      <c r="J3324" s="3"/>
      <c r="L3324" s="1"/>
    </row>
    <row r="3325" spans="1:12" x14ac:dyDescent="0.3">
      <c r="A3325" s="3"/>
      <c r="C3325" s="1"/>
      <c r="E3325" s="1"/>
      <c r="J3325" s="3"/>
      <c r="L3325" s="1"/>
    </row>
    <row r="3326" spans="1:12" x14ac:dyDescent="0.3">
      <c r="A3326" s="3"/>
      <c r="C3326" s="1"/>
      <c r="E3326" s="1"/>
      <c r="J3326" s="3"/>
      <c r="L3326" s="1"/>
    </row>
    <row r="3327" spans="1:12" x14ac:dyDescent="0.3">
      <c r="A3327" s="3"/>
      <c r="C3327" s="1"/>
      <c r="E3327" s="1"/>
      <c r="J3327" s="3"/>
      <c r="L3327" s="1"/>
    </row>
    <row r="3328" spans="1:12" x14ac:dyDescent="0.3">
      <c r="A3328" s="3"/>
      <c r="C3328" s="1"/>
      <c r="E3328" s="1"/>
      <c r="J3328" s="3"/>
      <c r="L3328" s="1"/>
    </row>
    <row r="3329" spans="1:12" x14ac:dyDescent="0.3">
      <c r="A3329" s="3"/>
      <c r="C3329" s="1"/>
      <c r="E3329" s="1"/>
      <c r="J3329" s="3"/>
      <c r="L3329" s="1"/>
    </row>
    <row r="3330" spans="1:12" x14ac:dyDescent="0.3">
      <c r="A3330" s="3"/>
      <c r="C3330" s="1"/>
      <c r="E3330" s="1"/>
      <c r="J3330" s="3"/>
      <c r="L3330" s="1"/>
    </row>
    <row r="3331" spans="1:12" x14ac:dyDescent="0.3">
      <c r="A3331" s="3"/>
      <c r="C3331" s="1"/>
      <c r="E3331" s="1"/>
      <c r="J3331" s="3"/>
      <c r="L3331" s="1"/>
    </row>
    <row r="3332" spans="1:12" x14ac:dyDescent="0.3">
      <c r="A3332" s="3"/>
      <c r="C3332" s="1"/>
      <c r="E3332" s="1"/>
      <c r="J3332" s="3"/>
      <c r="L3332" s="1"/>
    </row>
    <row r="3333" spans="1:12" x14ac:dyDescent="0.3">
      <c r="A3333" s="3"/>
      <c r="C3333" s="1"/>
      <c r="E3333" s="1"/>
      <c r="J3333" s="3"/>
      <c r="L3333" s="1"/>
    </row>
    <row r="3334" spans="1:12" x14ac:dyDescent="0.3">
      <c r="A3334" s="3"/>
      <c r="C3334" s="1"/>
      <c r="E3334" s="1"/>
      <c r="J3334" s="3"/>
      <c r="L3334" s="1"/>
    </row>
    <row r="3335" spans="1:12" x14ac:dyDescent="0.3">
      <c r="A3335" s="3"/>
      <c r="C3335" s="1"/>
      <c r="E3335" s="1"/>
      <c r="J3335" s="3"/>
      <c r="L3335" s="1"/>
    </row>
    <row r="3336" spans="1:12" x14ac:dyDescent="0.3">
      <c r="A3336" s="3"/>
      <c r="C3336" s="1"/>
      <c r="E3336" s="1"/>
      <c r="J3336" s="3"/>
      <c r="L3336" s="1"/>
    </row>
    <row r="3337" spans="1:12" x14ac:dyDescent="0.3">
      <c r="A3337" s="3"/>
      <c r="C3337" s="1"/>
      <c r="E3337" s="1"/>
      <c r="J3337" s="3"/>
      <c r="L3337" s="1"/>
    </row>
    <row r="3338" spans="1:12" x14ac:dyDescent="0.3">
      <c r="A3338" s="3"/>
      <c r="C3338" s="1"/>
      <c r="E3338" s="1"/>
      <c r="J3338" s="3"/>
      <c r="L3338" s="1"/>
    </row>
    <row r="3339" spans="1:12" x14ac:dyDescent="0.3">
      <c r="A3339" s="3"/>
      <c r="C3339" s="1"/>
      <c r="E3339" s="1"/>
      <c r="J3339" s="3"/>
      <c r="L3339" s="1"/>
    </row>
    <row r="3340" spans="1:12" x14ac:dyDescent="0.3">
      <c r="A3340" s="3"/>
      <c r="C3340" s="1"/>
      <c r="E3340" s="1"/>
      <c r="J3340" s="3"/>
      <c r="L3340" s="1"/>
    </row>
    <row r="3341" spans="1:12" x14ac:dyDescent="0.3">
      <c r="A3341" s="3"/>
      <c r="C3341" s="1"/>
      <c r="E3341" s="1"/>
      <c r="J3341" s="3"/>
      <c r="L3341" s="1"/>
    </row>
    <row r="3342" spans="1:12" x14ac:dyDescent="0.3">
      <c r="A3342" s="3"/>
      <c r="C3342" s="1"/>
      <c r="E3342" s="1"/>
      <c r="J3342" s="3"/>
      <c r="L3342" s="1"/>
    </row>
    <row r="3343" spans="1:12" x14ac:dyDescent="0.3">
      <c r="A3343" s="3"/>
      <c r="C3343" s="1"/>
      <c r="E3343" s="1"/>
      <c r="J3343" s="3"/>
      <c r="L3343" s="1"/>
    </row>
    <row r="3344" spans="1:12" x14ac:dyDescent="0.3">
      <c r="A3344" s="3"/>
      <c r="C3344" s="1"/>
      <c r="E3344" s="1"/>
      <c r="J3344" s="3"/>
      <c r="L3344" s="1"/>
    </row>
    <row r="3345" spans="1:12" x14ac:dyDescent="0.3">
      <c r="A3345" s="3"/>
      <c r="C3345" s="1"/>
      <c r="E3345" s="1"/>
      <c r="J3345" s="3"/>
      <c r="L3345" s="1"/>
    </row>
    <row r="3346" spans="1:12" x14ac:dyDescent="0.3">
      <c r="A3346" s="3"/>
      <c r="C3346" s="1"/>
      <c r="E3346" s="1"/>
      <c r="J3346" s="3"/>
      <c r="L3346" s="1"/>
    </row>
    <row r="3347" spans="1:12" x14ac:dyDescent="0.3">
      <c r="A3347" s="3"/>
      <c r="C3347" s="1"/>
      <c r="E3347" s="1"/>
      <c r="J3347" s="3"/>
      <c r="L3347" s="1"/>
    </row>
    <row r="3348" spans="1:12" x14ac:dyDescent="0.3">
      <c r="A3348" s="3"/>
      <c r="C3348" s="1"/>
      <c r="E3348" s="1"/>
      <c r="J3348" s="3"/>
      <c r="L3348" s="1"/>
    </row>
    <row r="3349" spans="1:12" x14ac:dyDescent="0.3">
      <c r="A3349" s="3"/>
      <c r="C3349" s="1"/>
      <c r="E3349" s="1"/>
      <c r="J3349" s="3"/>
      <c r="L3349" s="1"/>
    </row>
    <row r="3350" spans="1:12" x14ac:dyDescent="0.3">
      <c r="A3350" s="3"/>
      <c r="C3350" s="1"/>
      <c r="E3350" s="1"/>
      <c r="J3350" s="3"/>
      <c r="L3350" s="1"/>
    </row>
    <row r="3351" spans="1:12" x14ac:dyDescent="0.3">
      <c r="A3351" s="3"/>
      <c r="C3351" s="1"/>
      <c r="E3351" s="1"/>
      <c r="J3351" s="3"/>
      <c r="L3351" s="1"/>
    </row>
    <row r="3352" spans="1:12" x14ac:dyDescent="0.3">
      <c r="A3352" s="3"/>
      <c r="C3352" s="1"/>
      <c r="E3352" s="1"/>
      <c r="J3352" s="3"/>
      <c r="L3352" s="1"/>
    </row>
    <row r="3353" spans="1:12" x14ac:dyDescent="0.3">
      <c r="A3353" s="3"/>
      <c r="C3353" s="1"/>
      <c r="E3353" s="1"/>
      <c r="J3353" s="3"/>
      <c r="L3353" s="1"/>
    </row>
    <row r="3354" spans="1:12" x14ac:dyDescent="0.3">
      <c r="A3354" s="3"/>
      <c r="C3354" s="1"/>
      <c r="E3354" s="1"/>
      <c r="J3354" s="3"/>
      <c r="L3354" s="1"/>
    </row>
    <row r="3355" spans="1:12" x14ac:dyDescent="0.3">
      <c r="A3355" s="3"/>
      <c r="C3355" s="1"/>
      <c r="E3355" s="1"/>
      <c r="J3355" s="3"/>
      <c r="L3355" s="1"/>
    </row>
    <row r="3356" spans="1:12" x14ac:dyDescent="0.3">
      <c r="A3356" s="3"/>
      <c r="C3356" s="1"/>
      <c r="E3356" s="1"/>
      <c r="J3356" s="3"/>
      <c r="L3356" s="1"/>
    </row>
    <row r="3357" spans="1:12" x14ac:dyDescent="0.3">
      <c r="A3357" s="3"/>
      <c r="C3357" s="1"/>
      <c r="E3357" s="1"/>
      <c r="J3357" s="3"/>
      <c r="L3357" s="1"/>
    </row>
    <row r="3358" spans="1:12" x14ac:dyDescent="0.3">
      <c r="A3358" s="3"/>
      <c r="C3358" s="1"/>
      <c r="E3358" s="1"/>
      <c r="J3358" s="3"/>
      <c r="L3358" s="1"/>
    </row>
    <row r="3359" spans="1:12" x14ac:dyDescent="0.3">
      <c r="A3359" s="3"/>
      <c r="C3359" s="1"/>
      <c r="E3359" s="1"/>
      <c r="J3359" s="3"/>
      <c r="L3359" s="1"/>
    </row>
    <row r="3360" spans="1:12" x14ac:dyDescent="0.3">
      <c r="A3360" s="3"/>
      <c r="C3360" s="1"/>
      <c r="E3360" s="1"/>
      <c r="J3360" s="3"/>
      <c r="L3360" s="1"/>
    </row>
    <row r="3361" spans="1:12" x14ac:dyDescent="0.3">
      <c r="A3361" s="3"/>
      <c r="C3361" s="1"/>
      <c r="E3361" s="1"/>
      <c r="J3361" s="3"/>
      <c r="L3361" s="1"/>
    </row>
    <row r="3362" spans="1:12" x14ac:dyDescent="0.3">
      <c r="A3362" s="3"/>
      <c r="C3362" s="1"/>
      <c r="E3362" s="1"/>
      <c r="J3362" s="3"/>
      <c r="L3362" s="1"/>
    </row>
    <row r="3363" spans="1:12" x14ac:dyDescent="0.3">
      <c r="A3363" s="3"/>
      <c r="C3363" s="1"/>
      <c r="E3363" s="1"/>
      <c r="J3363" s="3"/>
      <c r="L3363" s="1"/>
    </row>
    <row r="3364" spans="1:12" x14ac:dyDescent="0.3">
      <c r="A3364" s="3"/>
      <c r="C3364" s="1"/>
      <c r="E3364" s="1"/>
      <c r="J3364" s="3"/>
      <c r="L3364" s="1"/>
    </row>
    <row r="3365" spans="1:12" x14ac:dyDescent="0.3">
      <c r="A3365" s="3"/>
      <c r="C3365" s="1"/>
      <c r="E3365" s="1"/>
      <c r="J3365" s="3"/>
      <c r="L3365" s="1"/>
    </row>
    <row r="3366" spans="1:12" x14ac:dyDescent="0.3">
      <c r="A3366" s="3"/>
      <c r="C3366" s="1"/>
      <c r="E3366" s="1"/>
      <c r="J3366" s="3"/>
      <c r="L3366" s="1"/>
    </row>
    <row r="3367" spans="1:12" x14ac:dyDescent="0.3">
      <c r="A3367" s="3"/>
      <c r="C3367" s="1"/>
      <c r="E3367" s="1"/>
      <c r="J3367" s="3"/>
      <c r="L3367" s="1"/>
    </row>
    <row r="3368" spans="1:12" x14ac:dyDescent="0.3">
      <c r="A3368" s="3"/>
      <c r="C3368" s="1"/>
      <c r="E3368" s="1"/>
      <c r="J3368" s="3"/>
      <c r="L3368" s="1"/>
    </row>
    <row r="3369" spans="1:12" x14ac:dyDescent="0.3">
      <c r="A3369" s="3"/>
      <c r="C3369" s="1"/>
      <c r="E3369" s="1"/>
      <c r="J3369" s="3"/>
      <c r="L3369" s="1"/>
    </row>
    <row r="3370" spans="1:12" x14ac:dyDescent="0.3">
      <c r="A3370" s="3"/>
      <c r="C3370" s="1"/>
      <c r="E3370" s="1"/>
      <c r="J3370" s="3"/>
      <c r="L3370" s="1"/>
    </row>
    <row r="3371" spans="1:12" x14ac:dyDescent="0.3">
      <c r="A3371" s="3"/>
      <c r="C3371" s="1"/>
      <c r="E3371" s="1"/>
      <c r="J3371" s="3"/>
      <c r="L3371" s="1"/>
    </row>
    <row r="3372" spans="1:12" x14ac:dyDescent="0.3">
      <c r="A3372" s="3"/>
      <c r="C3372" s="1"/>
      <c r="E3372" s="1"/>
      <c r="J3372" s="3"/>
      <c r="L3372" s="1"/>
    </row>
    <row r="3373" spans="1:12" x14ac:dyDescent="0.3">
      <c r="A3373" s="3"/>
      <c r="C3373" s="1"/>
      <c r="E3373" s="1"/>
      <c r="J3373" s="3"/>
      <c r="L3373" s="1"/>
    </row>
    <row r="3374" spans="1:12" x14ac:dyDescent="0.3">
      <c r="A3374" s="3"/>
      <c r="C3374" s="1"/>
      <c r="E3374" s="1"/>
      <c r="J3374" s="3"/>
      <c r="L3374" s="1"/>
    </row>
    <row r="3375" spans="1:12" x14ac:dyDescent="0.3">
      <c r="A3375" s="3"/>
      <c r="C3375" s="1"/>
      <c r="E3375" s="1"/>
      <c r="J3375" s="3"/>
      <c r="L3375" s="1"/>
    </row>
    <row r="3376" spans="1:12" x14ac:dyDescent="0.3">
      <c r="A3376" s="3"/>
      <c r="C3376" s="1"/>
      <c r="E3376" s="1"/>
      <c r="J3376" s="3"/>
      <c r="L3376" s="1"/>
    </row>
    <row r="3377" spans="1:12" x14ac:dyDescent="0.3">
      <c r="A3377" s="3"/>
      <c r="C3377" s="1"/>
      <c r="E3377" s="1"/>
      <c r="J3377" s="3"/>
      <c r="L3377" s="1"/>
    </row>
    <row r="3378" spans="1:12" x14ac:dyDescent="0.3">
      <c r="A3378" s="3"/>
      <c r="C3378" s="1"/>
      <c r="E3378" s="1"/>
      <c r="J3378" s="3"/>
      <c r="L3378" s="1"/>
    </row>
    <row r="3379" spans="1:12" x14ac:dyDescent="0.3">
      <c r="A3379" s="3"/>
      <c r="C3379" s="1"/>
      <c r="E3379" s="1"/>
      <c r="J3379" s="3"/>
      <c r="L3379" s="1"/>
    </row>
    <row r="3380" spans="1:12" x14ac:dyDescent="0.3">
      <c r="A3380" s="3"/>
      <c r="C3380" s="1"/>
      <c r="E3380" s="1"/>
      <c r="J3380" s="3"/>
      <c r="L3380" s="1"/>
    </row>
    <row r="3381" spans="1:12" x14ac:dyDescent="0.3">
      <c r="A3381" s="3"/>
      <c r="C3381" s="1"/>
      <c r="E3381" s="1"/>
      <c r="J3381" s="3"/>
      <c r="L3381" s="1"/>
    </row>
    <row r="3382" spans="1:12" x14ac:dyDescent="0.3">
      <c r="A3382" s="3"/>
      <c r="C3382" s="1"/>
      <c r="E3382" s="1"/>
      <c r="J3382" s="3"/>
      <c r="L3382" s="1"/>
    </row>
    <row r="3383" spans="1:12" x14ac:dyDescent="0.3">
      <c r="A3383" s="3"/>
      <c r="C3383" s="1"/>
      <c r="E3383" s="1"/>
      <c r="J3383" s="3"/>
      <c r="L3383" s="1"/>
    </row>
    <row r="3384" spans="1:12" x14ac:dyDescent="0.3">
      <c r="A3384" s="3"/>
      <c r="C3384" s="1"/>
      <c r="E3384" s="1"/>
      <c r="J3384" s="3"/>
      <c r="L3384" s="1"/>
    </row>
    <row r="3385" spans="1:12" x14ac:dyDescent="0.3">
      <c r="A3385" s="3"/>
      <c r="C3385" s="1"/>
      <c r="E3385" s="1"/>
      <c r="J3385" s="3"/>
      <c r="L3385" s="1"/>
    </row>
    <row r="3386" spans="1:12" x14ac:dyDescent="0.3">
      <c r="A3386" s="3"/>
      <c r="C3386" s="1"/>
      <c r="E3386" s="1"/>
      <c r="J3386" s="3"/>
      <c r="L3386" s="1"/>
    </row>
    <row r="3387" spans="1:12" x14ac:dyDescent="0.3">
      <c r="A3387" s="3"/>
      <c r="C3387" s="1"/>
      <c r="E3387" s="1"/>
      <c r="J3387" s="3"/>
      <c r="L3387" s="1"/>
    </row>
    <row r="3388" spans="1:12" x14ac:dyDescent="0.3">
      <c r="A3388" s="3"/>
      <c r="C3388" s="1"/>
      <c r="E3388" s="1"/>
      <c r="J3388" s="3"/>
      <c r="L3388" s="1"/>
    </row>
    <row r="3389" spans="1:12" x14ac:dyDescent="0.3">
      <c r="A3389" s="3"/>
      <c r="C3389" s="1"/>
      <c r="E3389" s="1"/>
      <c r="J3389" s="3"/>
      <c r="L3389" s="1"/>
    </row>
    <row r="3390" spans="1:12" x14ac:dyDescent="0.3">
      <c r="A3390" s="3"/>
      <c r="C3390" s="1"/>
      <c r="E3390" s="1"/>
      <c r="J3390" s="3"/>
      <c r="L3390" s="1"/>
    </row>
    <row r="3391" spans="1:12" x14ac:dyDescent="0.3">
      <c r="A3391" s="3"/>
      <c r="C3391" s="1"/>
      <c r="E3391" s="1"/>
      <c r="J3391" s="3"/>
      <c r="L3391" s="1"/>
    </row>
    <row r="3392" spans="1:12" x14ac:dyDescent="0.3">
      <c r="A3392" s="3"/>
      <c r="C3392" s="1"/>
      <c r="E3392" s="1"/>
      <c r="J3392" s="3"/>
      <c r="L3392" s="1"/>
    </row>
    <row r="3393" spans="1:12" x14ac:dyDescent="0.3">
      <c r="A3393" s="3"/>
      <c r="C3393" s="1"/>
      <c r="E3393" s="1"/>
      <c r="J3393" s="3"/>
      <c r="L3393" s="1"/>
    </row>
    <row r="3394" spans="1:12" x14ac:dyDescent="0.3">
      <c r="A3394" s="3"/>
      <c r="C3394" s="1"/>
      <c r="E3394" s="1"/>
      <c r="J3394" s="3"/>
      <c r="L3394" s="1"/>
    </row>
    <row r="3395" spans="1:12" x14ac:dyDescent="0.3">
      <c r="A3395" s="3"/>
      <c r="C3395" s="1"/>
      <c r="E3395" s="1"/>
      <c r="J3395" s="3"/>
      <c r="L3395" s="1"/>
    </row>
    <row r="3396" spans="1:12" x14ac:dyDescent="0.3">
      <c r="A3396" s="3"/>
      <c r="C3396" s="1"/>
      <c r="E3396" s="1"/>
      <c r="J3396" s="3"/>
      <c r="L3396" s="1"/>
    </row>
    <row r="3397" spans="1:12" x14ac:dyDescent="0.3">
      <c r="A3397" s="3"/>
      <c r="C3397" s="1"/>
      <c r="E3397" s="1"/>
      <c r="J3397" s="3"/>
      <c r="L3397" s="1"/>
    </row>
    <row r="3398" spans="1:12" x14ac:dyDescent="0.3">
      <c r="A3398" s="3"/>
      <c r="C3398" s="1"/>
      <c r="E3398" s="1"/>
      <c r="J3398" s="3"/>
      <c r="L3398" s="1"/>
    </row>
    <row r="3399" spans="1:12" x14ac:dyDescent="0.3">
      <c r="A3399" s="3"/>
      <c r="C3399" s="1"/>
      <c r="E3399" s="1"/>
      <c r="J3399" s="3"/>
      <c r="L3399" s="1"/>
    </row>
    <row r="3400" spans="1:12" x14ac:dyDescent="0.3">
      <c r="A3400" s="3"/>
      <c r="C3400" s="1"/>
      <c r="E3400" s="1"/>
      <c r="J3400" s="3"/>
      <c r="L3400" s="1"/>
    </row>
    <row r="3401" spans="1:12" x14ac:dyDescent="0.3">
      <c r="A3401" s="3"/>
      <c r="C3401" s="1"/>
      <c r="E3401" s="1"/>
      <c r="J3401" s="3"/>
      <c r="L3401" s="1"/>
    </row>
    <row r="3402" spans="1:12" x14ac:dyDescent="0.3">
      <c r="A3402" s="3"/>
      <c r="C3402" s="1"/>
      <c r="E3402" s="1"/>
      <c r="J3402" s="3"/>
      <c r="L3402" s="1"/>
    </row>
    <row r="3403" spans="1:12" x14ac:dyDescent="0.3">
      <c r="A3403" s="3"/>
      <c r="C3403" s="1"/>
      <c r="E3403" s="1"/>
      <c r="J3403" s="3"/>
      <c r="L3403" s="1"/>
    </row>
    <row r="3404" spans="1:12" x14ac:dyDescent="0.3">
      <c r="A3404" s="3"/>
      <c r="C3404" s="1"/>
      <c r="E3404" s="1"/>
      <c r="J3404" s="3"/>
      <c r="L3404" s="1"/>
    </row>
    <row r="3405" spans="1:12" x14ac:dyDescent="0.3">
      <c r="A3405" s="3"/>
      <c r="C3405" s="1"/>
      <c r="E3405" s="1"/>
      <c r="J3405" s="3"/>
      <c r="L3405" s="1"/>
    </row>
    <row r="3406" spans="1:12" x14ac:dyDescent="0.3">
      <c r="A3406" s="3"/>
      <c r="C3406" s="1"/>
      <c r="E3406" s="1"/>
      <c r="J3406" s="3"/>
      <c r="L3406" s="1"/>
    </row>
    <row r="3407" spans="1:12" x14ac:dyDescent="0.3">
      <c r="A3407" s="3"/>
      <c r="C3407" s="1"/>
      <c r="E3407" s="1"/>
      <c r="J3407" s="3"/>
      <c r="L3407" s="1"/>
    </row>
    <row r="3408" spans="1:12" x14ac:dyDescent="0.3">
      <c r="A3408" s="3"/>
      <c r="C3408" s="1"/>
      <c r="E3408" s="1"/>
      <c r="J3408" s="3"/>
      <c r="L3408" s="1"/>
    </row>
    <row r="3409" spans="1:12" x14ac:dyDescent="0.3">
      <c r="A3409" s="3"/>
      <c r="C3409" s="1"/>
      <c r="E3409" s="1"/>
      <c r="J3409" s="3"/>
      <c r="L3409" s="1"/>
    </row>
    <row r="3410" spans="1:12" x14ac:dyDescent="0.3">
      <c r="A3410" s="3"/>
      <c r="C3410" s="1"/>
      <c r="E3410" s="1"/>
      <c r="J3410" s="3"/>
      <c r="L3410" s="1"/>
    </row>
    <row r="3411" spans="1:12" x14ac:dyDescent="0.3">
      <c r="A3411" s="3"/>
      <c r="C3411" s="1"/>
      <c r="E3411" s="1"/>
      <c r="J3411" s="3"/>
      <c r="L3411" s="1"/>
    </row>
    <row r="3412" spans="1:12" x14ac:dyDescent="0.3">
      <c r="A3412" s="3"/>
      <c r="C3412" s="1"/>
      <c r="E3412" s="1"/>
      <c r="J3412" s="3"/>
      <c r="L3412" s="1"/>
    </row>
    <row r="3413" spans="1:12" x14ac:dyDescent="0.3">
      <c r="A3413" s="3"/>
      <c r="C3413" s="1"/>
      <c r="E3413" s="1"/>
      <c r="J3413" s="3"/>
      <c r="L3413" s="1"/>
    </row>
    <row r="3414" spans="1:12" x14ac:dyDescent="0.3">
      <c r="A3414" s="3"/>
      <c r="C3414" s="1"/>
      <c r="E3414" s="1"/>
      <c r="J3414" s="3"/>
      <c r="L3414" s="1"/>
    </row>
    <row r="3415" spans="1:12" x14ac:dyDescent="0.3">
      <c r="A3415" s="3"/>
      <c r="C3415" s="1"/>
      <c r="E3415" s="1"/>
      <c r="J3415" s="3"/>
      <c r="L3415" s="1"/>
    </row>
    <row r="3416" spans="1:12" x14ac:dyDescent="0.3">
      <c r="A3416" s="3"/>
      <c r="C3416" s="1"/>
      <c r="E3416" s="1"/>
      <c r="J3416" s="3"/>
      <c r="L3416" s="1"/>
    </row>
    <row r="3417" spans="1:12" x14ac:dyDescent="0.3">
      <c r="A3417" s="3"/>
      <c r="C3417" s="1"/>
      <c r="E3417" s="1"/>
      <c r="J3417" s="3"/>
      <c r="L3417" s="1"/>
    </row>
    <row r="3418" spans="1:12" x14ac:dyDescent="0.3">
      <c r="A3418" s="3"/>
      <c r="C3418" s="1"/>
      <c r="E3418" s="1"/>
      <c r="J3418" s="3"/>
      <c r="L3418" s="1"/>
    </row>
    <row r="3419" spans="1:12" x14ac:dyDescent="0.3">
      <c r="A3419" s="3"/>
      <c r="C3419" s="1"/>
      <c r="E3419" s="1"/>
      <c r="J3419" s="3"/>
      <c r="L3419" s="1"/>
    </row>
    <row r="3420" spans="1:12" x14ac:dyDescent="0.3">
      <c r="A3420" s="3"/>
      <c r="C3420" s="1"/>
      <c r="E3420" s="1"/>
      <c r="J3420" s="3"/>
      <c r="L3420" s="1"/>
    </row>
    <row r="3421" spans="1:12" x14ac:dyDescent="0.3">
      <c r="A3421" s="3"/>
      <c r="C3421" s="1"/>
      <c r="E3421" s="1"/>
      <c r="J3421" s="3"/>
      <c r="L3421" s="1"/>
    </row>
    <row r="3422" spans="1:12" x14ac:dyDescent="0.3">
      <c r="A3422" s="3"/>
      <c r="C3422" s="1"/>
      <c r="E3422" s="1"/>
      <c r="J3422" s="3"/>
      <c r="L3422" s="1"/>
    </row>
    <row r="3423" spans="1:12" x14ac:dyDescent="0.3">
      <c r="A3423" s="3"/>
      <c r="C3423" s="1"/>
      <c r="E3423" s="1"/>
      <c r="J3423" s="3"/>
      <c r="L3423" s="1"/>
    </row>
    <row r="3424" spans="1:12" x14ac:dyDescent="0.3">
      <c r="A3424" s="3"/>
      <c r="C3424" s="1"/>
      <c r="E3424" s="1"/>
      <c r="J3424" s="3"/>
      <c r="L3424" s="1"/>
    </row>
    <row r="3425" spans="1:12" x14ac:dyDescent="0.3">
      <c r="A3425" s="3"/>
      <c r="C3425" s="1"/>
      <c r="E3425" s="1"/>
      <c r="J3425" s="3"/>
      <c r="L3425" s="1"/>
    </row>
    <row r="3426" spans="1:12" x14ac:dyDescent="0.3">
      <c r="A3426" s="3"/>
      <c r="C3426" s="1"/>
      <c r="E3426" s="1"/>
      <c r="J3426" s="3"/>
      <c r="L3426" s="1"/>
    </row>
    <row r="3427" spans="1:12" x14ac:dyDescent="0.3">
      <c r="A3427" s="3"/>
      <c r="C3427" s="1"/>
      <c r="E3427" s="1"/>
      <c r="J3427" s="3"/>
      <c r="L3427" s="1"/>
    </row>
    <row r="3428" spans="1:12" x14ac:dyDescent="0.3">
      <c r="A3428" s="3"/>
      <c r="C3428" s="1"/>
      <c r="E3428" s="1"/>
      <c r="J3428" s="3"/>
      <c r="L3428" s="1"/>
    </row>
    <row r="3429" spans="1:12" x14ac:dyDescent="0.3">
      <c r="A3429" s="3"/>
      <c r="C3429" s="1"/>
      <c r="E3429" s="1"/>
      <c r="J3429" s="3"/>
      <c r="L3429" s="1"/>
    </row>
    <row r="3430" spans="1:12" x14ac:dyDescent="0.3">
      <c r="A3430" s="3"/>
      <c r="C3430" s="1"/>
      <c r="E3430" s="1"/>
      <c r="J3430" s="3"/>
      <c r="L3430" s="1"/>
    </row>
    <row r="3431" spans="1:12" x14ac:dyDescent="0.3">
      <c r="A3431" s="3"/>
      <c r="C3431" s="1"/>
      <c r="E3431" s="1"/>
      <c r="J3431" s="3"/>
      <c r="L3431" s="1"/>
    </row>
    <row r="3432" spans="1:12" x14ac:dyDescent="0.3">
      <c r="A3432" s="3"/>
      <c r="C3432" s="1"/>
      <c r="E3432" s="1"/>
      <c r="J3432" s="3"/>
      <c r="L3432" s="1"/>
    </row>
    <row r="3433" spans="1:12" x14ac:dyDescent="0.3">
      <c r="A3433" s="3"/>
      <c r="C3433" s="1"/>
      <c r="E3433" s="1"/>
      <c r="J3433" s="3"/>
      <c r="L3433" s="1"/>
    </row>
    <row r="3434" spans="1:12" x14ac:dyDescent="0.3">
      <c r="A3434" s="3"/>
      <c r="C3434" s="1"/>
      <c r="E3434" s="1"/>
      <c r="J3434" s="3"/>
      <c r="L3434" s="1"/>
    </row>
    <row r="3435" spans="1:12" x14ac:dyDescent="0.3">
      <c r="A3435" s="3"/>
      <c r="C3435" s="1"/>
      <c r="E3435" s="1"/>
      <c r="J3435" s="3"/>
      <c r="L3435" s="1"/>
    </row>
    <row r="3436" spans="1:12" x14ac:dyDescent="0.3">
      <c r="A3436" s="3"/>
      <c r="C3436" s="1"/>
      <c r="E3436" s="1"/>
      <c r="J3436" s="3"/>
      <c r="L3436" s="1"/>
    </row>
    <row r="3437" spans="1:12" x14ac:dyDescent="0.3">
      <c r="A3437" s="3"/>
      <c r="C3437" s="1"/>
      <c r="E3437" s="1"/>
      <c r="J3437" s="3"/>
      <c r="L3437" s="1"/>
    </row>
    <row r="3438" spans="1:12" x14ac:dyDescent="0.3">
      <c r="A3438" s="3"/>
      <c r="C3438" s="1"/>
      <c r="E3438" s="1"/>
      <c r="J3438" s="3"/>
      <c r="L3438" s="1"/>
    </row>
    <row r="3439" spans="1:12" x14ac:dyDescent="0.3">
      <c r="A3439" s="3"/>
      <c r="C3439" s="1"/>
      <c r="E3439" s="1"/>
      <c r="J3439" s="3"/>
      <c r="L3439" s="1"/>
    </row>
    <row r="3440" spans="1:12" x14ac:dyDescent="0.3">
      <c r="A3440" s="3"/>
      <c r="C3440" s="1"/>
      <c r="E3440" s="1"/>
      <c r="J3440" s="3"/>
      <c r="L3440" s="1"/>
    </row>
    <row r="3441" spans="1:12" x14ac:dyDescent="0.3">
      <c r="A3441" s="3"/>
      <c r="C3441" s="1"/>
      <c r="E3441" s="1"/>
      <c r="J3441" s="3"/>
      <c r="L3441" s="1"/>
    </row>
    <row r="3442" spans="1:12" x14ac:dyDescent="0.3">
      <c r="A3442" s="3"/>
      <c r="C3442" s="1"/>
      <c r="E3442" s="1"/>
      <c r="J3442" s="3"/>
      <c r="L3442" s="1"/>
    </row>
    <row r="3443" spans="1:12" x14ac:dyDescent="0.3">
      <c r="A3443" s="3"/>
      <c r="C3443" s="1"/>
      <c r="E3443" s="1"/>
      <c r="J3443" s="3"/>
      <c r="L3443" s="1"/>
    </row>
    <row r="3444" spans="1:12" x14ac:dyDescent="0.3">
      <c r="A3444" s="3"/>
      <c r="C3444" s="1"/>
      <c r="E3444" s="1"/>
      <c r="J3444" s="3"/>
      <c r="L3444" s="1"/>
    </row>
    <row r="3445" spans="1:12" x14ac:dyDescent="0.3">
      <c r="A3445" s="3"/>
      <c r="C3445" s="1"/>
      <c r="E3445" s="1"/>
      <c r="J3445" s="3"/>
      <c r="L3445" s="1"/>
    </row>
    <row r="3446" spans="1:12" x14ac:dyDescent="0.3">
      <c r="A3446" s="3"/>
      <c r="C3446" s="1"/>
      <c r="E3446" s="1"/>
      <c r="J3446" s="3"/>
      <c r="L3446" s="1"/>
    </row>
    <row r="3447" spans="1:12" x14ac:dyDescent="0.3">
      <c r="A3447" s="3"/>
      <c r="C3447" s="1"/>
      <c r="E3447" s="1"/>
      <c r="J3447" s="3"/>
      <c r="L3447" s="1"/>
    </row>
    <row r="3448" spans="1:12" x14ac:dyDescent="0.3">
      <c r="A3448" s="3"/>
      <c r="C3448" s="1"/>
      <c r="E3448" s="1"/>
      <c r="J3448" s="3"/>
      <c r="L3448" s="1"/>
    </row>
    <row r="3449" spans="1:12" x14ac:dyDescent="0.3">
      <c r="A3449" s="3"/>
      <c r="C3449" s="1"/>
      <c r="E3449" s="1"/>
      <c r="J3449" s="3"/>
      <c r="L3449" s="1"/>
    </row>
    <row r="3450" spans="1:12" x14ac:dyDescent="0.3">
      <c r="A3450" s="3"/>
      <c r="C3450" s="1"/>
      <c r="E3450" s="1"/>
      <c r="J3450" s="3"/>
      <c r="L3450" s="1"/>
    </row>
    <row r="3451" spans="1:12" x14ac:dyDescent="0.3">
      <c r="A3451" s="3"/>
      <c r="C3451" s="1"/>
      <c r="E3451" s="1"/>
      <c r="J3451" s="3"/>
      <c r="L3451" s="1"/>
    </row>
    <row r="3452" spans="1:12" x14ac:dyDescent="0.3">
      <c r="A3452" s="3"/>
      <c r="C3452" s="1"/>
      <c r="E3452" s="1"/>
      <c r="J3452" s="3"/>
      <c r="L3452" s="1"/>
    </row>
    <row r="3453" spans="1:12" x14ac:dyDescent="0.3">
      <c r="A3453" s="3"/>
      <c r="C3453" s="1"/>
      <c r="E3453" s="1"/>
      <c r="J3453" s="3"/>
      <c r="L3453" s="1"/>
    </row>
    <row r="3454" spans="1:12" x14ac:dyDescent="0.3">
      <c r="A3454" s="3"/>
      <c r="C3454" s="1"/>
      <c r="E3454" s="1"/>
      <c r="J3454" s="3"/>
      <c r="L3454" s="1"/>
    </row>
    <row r="3455" spans="1:12" x14ac:dyDescent="0.3">
      <c r="A3455" s="3"/>
      <c r="C3455" s="1"/>
      <c r="E3455" s="1"/>
      <c r="J3455" s="3"/>
      <c r="L3455" s="1"/>
    </row>
    <row r="3456" spans="1:12" x14ac:dyDescent="0.3">
      <c r="A3456" s="3"/>
      <c r="C3456" s="1"/>
      <c r="E3456" s="1"/>
      <c r="J3456" s="3"/>
      <c r="L3456" s="1"/>
    </row>
    <row r="3457" spans="1:12" x14ac:dyDescent="0.3">
      <c r="A3457" s="3"/>
      <c r="C3457" s="1"/>
      <c r="E3457" s="1"/>
      <c r="J3457" s="3"/>
      <c r="L3457" s="1"/>
    </row>
    <row r="3458" spans="1:12" x14ac:dyDescent="0.3">
      <c r="A3458" s="3"/>
      <c r="C3458" s="1"/>
      <c r="E3458" s="1"/>
      <c r="J3458" s="3"/>
      <c r="L3458" s="1"/>
    </row>
    <row r="3459" spans="1:12" x14ac:dyDescent="0.3">
      <c r="A3459" s="3"/>
      <c r="C3459" s="1"/>
      <c r="E3459" s="1"/>
      <c r="J3459" s="3"/>
      <c r="L3459" s="1"/>
    </row>
    <row r="3460" spans="1:12" x14ac:dyDescent="0.3">
      <c r="A3460" s="3"/>
      <c r="C3460" s="1"/>
      <c r="E3460" s="1"/>
      <c r="J3460" s="3"/>
      <c r="L3460" s="1"/>
    </row>
    <row r="3461" spans="1:12" x14ac:dyDescent="0.3">
      <c r="A3461" s="3"/>
      <c r="C3461" s="1"/>
      <c r="E3461" s="1"/>
      <c r="J3461" s="3"/>
      <c r="L3461" s="1"/>
    </row>
    <row r="3462" spans="1:12" x14ac:dyDescent="0.3">
      <c r="A3462" s="3"/>
      <c r="C3462" s="1"/>
      <c r="E3462" s="1"/>
      <c r="J3462" s="3"/>
      <c r="L3462" s="1"/>
    </row>
    <row r="3463" spans="1:12" x14ac:dyDescent="0.3">
      <c r="A3463" s="3"/>
      <c r="C3463" s="1"/>
      <c r="E3463" s="1"/>
      <c r="J3463" s="3"/>
      <c r="L3463" s="1"/>
    </row>
    <row r="3464" spans="1:12" x14ac:dyDescent="0.3">
      <c r="A3464" s="3"/>
      <c r="C3464" s="1"/>
      <c r="E3464" s="1"/>
      <c r="J3464" s="3"/>
      <c r="L3464" s="1"/>
    </row>
    <row r="3465" spans="1:12" x14ac:dyDescent="0.3">
      <c r="A3465" s="3"/>
      <c r="C3465" s="1"/>
      <c r="E3465" s="1"/>
      <c r="J3465" s="3"/>
      <c r="L3465" s="1"/>
    </row>
    <row r="3466" spans="1:12" x14ac:dyDescent="0.3">
      <c r="A3466" s="3"/>
      <c r="C3466" s="1"/>
      <c r="E3466" s="1"/>
      <c r="J3466" s="3"/>
      <c r="L3466" s="1"/>
    </row>
    <row r="3467" spans="1:12" x14ac:dyDescent="0.3">
      <c r="A3467" s="3"/>
      <c r="C3467" s="1"/>
      <c r="E3467" s="1"/>
      <c r="J3467" s="3"/>
      <c r="L3467" s="1"/>
    </row>
    <row r="3468" spans="1:12" x14ac:dyDescent="0.3">
      <c r="A3468" s="3"/>
      <c r="C3468" s="1"/>
      <c r="E3468" s="1"/>
      <c r="J3468" s="3"/>
      <c r="L3468" s="1"/>
    </row>
    <row r="3469" spans="1:12" x14ac:dyDescent="0.3">
      <c r="A3469" s="3"/>
      <c r="C3469" s="1"/>
      <c r="E3469" s="1"/>
      <c r="J3469" s="3"/>
      <c r="L3469" s="1"/>
    </row>
    <row r="3470" spans="1:12" x14ac:dyDescent="0.3">
      <c r="A3470" s="3"/>
      <c r="C3470" s="1"/>
      <c r="E3470" s="1"/>
      <c r="J3470" s="3"/>
      <c r="L3470" s="1"/>
    </row>
    <row r="3471" spans="1:12" x14ac:dyDescent="0.3">
      <c r="A3471" s="3"/>
      <c r="C3471" s="1"/>
      <c r="E3471" s="1"/>
      <c r="J3471" s="3"/>
      <c r="L3471" s="1"/>
    </row>
    <row r="3472" spans="1:12" x14ac:dyDescent="0.3">
      <c r="A3472" s="3"/>
      <c r="C3472" s="1"/>
      <c r="E3472" s="1"/>
      <c r="J3472" s="3"/>
      <c r="L3472" s="1"/>
    </row>
    <row r="3473" spans="1:12" x14ac:dyDescent="0.3">
      <c r="A3473" s="3"/>
      <c r="C3473" s="1"/>
      <c r="E3473" s="1"/>
      <c r="J3473" s="3"/>
      <c r="L3473" s="1"/>
    </row>
    <row r="3474" spans="1:12" x14ac:dyDescent="0.3">
      <c r="A3474" s="3"/>
      <c r="C3474" s="1"/>
      <c r="E3474" s="1"/>
      <c r="J3474" s="3"/>
      <c r="L3474" s="1"/>
    </row>
    <row r="3475" spans="1:12" x14ac:dyDescent="0.3">
      <c r="A3475" s="3"/>
      <c r="C3475" s="1"/>
      <c r="E3475" s="1"/>
      <c r="J3475" s="3"/>
      <c r="L3475" s="1"/>
    </row>
    <row r="3476" spans="1:12" x14ac:dyDescent="0.3">
      <c r="A3476" s="3"/>
      <c r="C3476" s="1"/>
      <c r="E3476" s="1"/>
      <c r="J3476" s="3"/>
      <c r="L3476" s="1"/>
    </row>
    <row r="3477" spans="1:12" x14ac:dyDescent="0.3">
      <c r="A3477" s="3"/>
      <c r="C3477" s="1"/>
      <c r="E3477" s="1"/>
      <c r="J3477" s="3"/>
      <c r="L3477" s="1"/>
    </row>
    <row r="3478" spans="1:12" x14ac:dyDescent="0.3">
      <c r="A3478" s="3"/>
      <c r="C3478" s="1"/>
      <c r="E3478" s="1"/>
      <c r="J3478" s="3"/>
      <c r="L3478" s="1"/>
    </row>
    <row r="3479" spans="1:12" x14ac:dyDescent="0.3">
      <c r="A3479" s="3"/>
      <c r="C3479" s="1"/>
      <c r="E3479" s="1"/>
      <c r="J3479" s="3"/>
      <c r="L3479" s="1"/>
    </row>
    <row r="3480" spans="1:12" x14ac:dyDescent="0.3">
      <c r="A3480" s="3"/>
      <c r="C3480" s="1"/>
      <c r="E3480" s="1"/>
      <c r="J3480" s="3"/>
      <c r="L3480" s="1"/>
    </row>
    <row r="3481" spans="1:12" x14ac:dyDescent="0.3">
      <c r="A3481" s="3"/>
      <c r="C3481" s="1"/>
      <c r="E3481" s="1"/>
      <c r="J3481" s="3"/>
      <c r="L3481" s="1"/>
    </row>
    <row r="3482" spans="1:12" x14ac:dyDescent="0.3">
      <c r="A3482" s="3"/>
      <c r="C3482" s="1"/>
      <c r="E3482" s="1"/>
      <c r="J3482" s="3"/>
      <c r="L3482" s="1"/>
    </row>
    <row r="3483" spans="1:12" x14ac:dyDescent="0.3">
      <c r="A3483" s="3"/>
      <c r="C3483" s="1"/>
      <c r="E3483" s="1"/>
      <c r="J3483" s="3"/>
      <c r="L3483" s="1"/>
    </row>
    <row r="3484" spans="1:12" x14ac:dyDescent="0.3">
      <c r="A3484" s="3"/>
      <c r="C3484" s="1"/>
      <c r="E3484" s="1"/>
      <c r="J3484" s="3"/>
      <c r="L3484" s="1"/>
    </row>
    <row r="3485" spans="1:12" x14ac:dyDescent="0.3">
      <c r="A3485" s="3"/>
      <c r="C3485" s="1"/>
      <c r="E3485" s="1"/>
      <c r="J3485" s="3"/>
      <c r="L3485" s="1"/>
    </row>
    <row r="3486" spans="1:12" x14ac:dyDescent="0.3">
      <c r="A3486" s="3"/>
      <c r="C3486" s="1"/>
      <c r="E3486" s="1"/>
      <c r="J3486" s="3"/>
      <c r="L3486" s="1"/>
    </row>
    <row r="3487" spans="1:12" x14ac:dyDescent="0.3">
      <c r="A3487" s="3"/>
      <c r="C3487" s="1"/>
      <c r="E3487" s="1"/>
      <c r="J3487" s="3"/>
      <c r="L3487" s="1"/>
    </row>
    <row r="3488" spans="1:12" x14ac:dyDescent="0.3">
      <c r="A3488" s="3"/>
      <c r="C3488" s="1"/>
      <c r="E3488" s="1"/>
      <c r="J3488" s="3"/>
      <c r="L3488" s="1"/>
    </row>
    <row r="3489" spans="1:12" x14ac:dyDescent="0.3">
      <c r="A3489" s="3"/>
      <c r="C3489" s="1"/>
      <c r="E3489" s="1"/>
      <c r="J3489" s="3"/>
      <c r="L3489" s="1"/>
    </row>
    <row r="3490" spans="1:12" x14ac:dyDescent="0.3">
      <c r="A3490" s="3"/>
      <c r="C3490" s="1"/>
      <c r="E3490" s="1"/>
      <c r="J3490" s="3"/>
      <c r="L3490" s="1"/>
    </row>
    <row r="3491" spans="1:12" x14ac:dyDescent="0.3">
      <c r="A3491" s="3"/>
      <c r="C3491" s="1"/>
      <c r="E3491" s="1"/>
      <c r="J3491" s="3"/>
      <c r="L3491" s="1"/>
    </row>
    <row r="3492" spans="1:12" x14ac:dyDescent="0.3">
      <c r="A3492" s="3"/>
      <c r="C3492" s="1"/>
      <c r="E3492" s="1"/>
      <c r="J3492" s="3"/>
      <c r="L3492" s="1"/>
    </row>
    <row r="3493" spans="1:12" x14ac:dyDescent="0.3">
      <c r="A3493" s="3"/>
      <c r="C3493" s="1"/>
      <c r="E3493" s="1"/>
      <c r="J3493" s="3"/>
      <c r="L3493" s="1"/>
    </row>
    <row r="3494" spans="1:12" x14ac:dyDescent="0.3">
      <c r="A3494" s="3"/>
      <c r="C3494" s="1"/>
      <c r="E3494" s="1"/>
      <c r="J3494" s="3"/>
      <c r="L3494" s="1"/>
    </row>
    <row r="3495" spans="1:12" x14ac:dyDescent="0.3">
      <c r="A3495" s="3"/>
      <c r="C3495" s="1"/>
      <c r="E3495" s="1"/>
      <c r="J3495" s="3"/>
      <c r="L3495" s="1"/>
    </row>
    <row r="3496" spans="1:12" x14ac:dyDescent="0.3">
      <c r="A3496" s="3"/>
      <c r="C3496" s="1"/>
      <c r="E3496" s="1"/>
      <c r="J3496" s="3"/>
      <c r="L3496" s="1"/>
    </row>
    <row r="3497" spans="1:12" x14ac:dyDescent="0.3">
      <c r="A3497" s="3"/>
      <c r="C3497" s="1"/>
      <c r="E3497" s="1"/>
      <c r="J3497" s="3"/>
      <c r="L3497" s="1"/>
    </row>
    <row r="3498" spans="1:12" x14ac:dyDescent="0.3">
      <c r="A3498" s="3"/>
      <c r="C3498" s="1"/>
      <c r="E3498" s="1"/>
      <c r="J3498" s="3"/>
      <c r="L3498" s="1"/>
    </row>
    <row r="3499" spans="1:12" x14ac:dyDescent="0.3">
      <c r="A3499" s="3"/>
      <c r="C3499" s="1"/>
      <c r="E3499" s="1"/>
      <c r="J3499" s="3"/>
      <c r="L3499" s="1"/>
    </row>
    <row r="3500" spans="1:12" x14ac:dyDescent="0.3">
      <c r="A3500" s="3"/>
      <c r="C3500" s="1"/>
      <c r="E3500" s="1"/>
      <c r="J3500" s="3"/>
      <c r="L3500" s="1"/>
    </row>
    <row r="3501" spans="1:12" x14ac:dyDescent="0.3">
      <c r="A3501" s="3"/>
      <c r="C3501" s="1"/>
      <c r="E3501" s="1"/>
      <c r="J3501" s="3"/>
      <c r="L3501" s="1"/>
    </row>
    <row r="3502" spans="1:12" x14ac:dyDescent="0.3">
      <c r="A3502" s="3"/>
      <c r="C3502" s="1"/>
      <c r="E3502" s="1"/>
      <c r="J3502" s="3"/>
      <c r="L3502" s="1"/>
    </row>
    <row r="3503" spans="1:12" x14ac:dyDescent="0.3">
      <c r="A3503" s="3"/>
      <c r="C3503" s="1"/>
      <c r="E3503" s="1"/>
      <c r="J3503" s="3"/>
      <c r="L3503" s="1"/>
    </row>
    <row r="3504" spans="1:12" x14ac:dyDescent="0.3">
      <c r="A3504" s="3"/>
      <c r="C3504" s="1"/>
      <c r="E3504" s="1"/>
      <c r="J3504" s="3"/>
      <c r="L3504" s="1"/>
    </row>
    <row r="3505" spans="1:12" x14ac:dyDescent="0.3">
      <c r="A3505" s="3"/>
      <c r="C3505" s="1"/>
      <c r="E3505" s="1"/>
      <c r="J3505" s="3"/>
      <c r="L3505" s="1"/>
    </row>
    <row r="3506" spans="1:12" x14ac:dyDescent="0.3">
      <c r="A3506" s="3"/>
      <c r="C3506" s="1"/>
      <c r="E3506" s="1"/>
      <c r="J3506" s="3"/>
      <c r="L3506" s="1"/>
    </row>
    <row r="3507" spans="1:12" x14ac:dyDescent="0.3">
      <c r="A3507" s="3"/>
      <c r="C3507" s="1"/>
      <c r="E3507" s="1"/>
      <c r="J3507" s="3"/>
      <c r="L3507" s="1"/>
    </row>
    <row r="3508" spans="1:12" x14ac:dyDescent="0.3">
      <c r="A3508" s="3"/>
      <c r="C3508" s="1"/>
      <c r="E3508" s="1"/>
      <c r="J3508" s="3"/>
      <c r="L3508" s="1"/>
    </row>
    <row r="3509" spans="1:12" x14ac:dyDescent="0.3">
      <c r="A3509" s="3"/>
      <c r="C3509" s="1"/>
      <c r="E3509" s="1"/>
      <c r="J3509" s="3"/>
      <c r="L3509" s="1"/>
    </row>
    <row r="3510" spans="1:12" x14ac:dyDescent="0.3">
      <c r="A3510" s="3"/>
      <c r="C3510" s="1"/>
      <c r="E3510" s="1"/>
      <c r="J3510" s="3"/>
      <c r="L3510" s="1"/>
    </row>
    <row r="3511" spans="1:12" x14ac:dyDescent="0.3">
      <c r="A3511" s="3"/>
      <c r="C3511" s="1"/>
      <c r="E3511" s="1"/>
      <c r="J3511" s="3"/>
      <c r="L3511" s="1"/>
    </row>
    <row r="3512" spans="1:12" x14ac:dyDescent="0.3">
      <c r="A3512" s="3"/>
      <c r="C3512" s="1"/>
      <c r="E3512" s="1"/>
      <c r="J3512" s="3"/>
      <c r="L3512" s="1"/>
    </row>
    <row r="3513" spans="1:12" x14ac:dyDescent="0.3">
      <c r="A3513" s="3"/>
      <c r="C3513" s="1"/>
      <c r="E3513" s="1"/>
      <c r="J3513" s="3"/>
      <c r="L3513" s="1"/>
    </row>
    <row r="3514" spans="1:12" x14ac:dyDescent="0.3">
      <c r="A3514" s="3"/>
      <c r="C3514" s="1"/>
      <c r="E3514" s="1"/>
      <c r="J3514" s="3"/>
      <c r="L3514" s="1"/>
    </row>
    <row r="3515" spans="1:12" x14ac:dyDescent="0.3">
      <c r="A3515" s="3"/>
      <c r="C3515" s="1"/>
      <c r="E3515" s="1"/>
      <c r="J3515" s="3"/>
      <c r="L3515" s="1"/>
    </row>
    <row r="3516" spans="1:12" x14ac:dyDescent="0.3">
      <c r="A3516" s="3"/>
      <c r="C3516" s="1"/>
      <c r="E3516" s="1"/>
      <c r="J3516" s="3"/>
      <c r="L3516" s="1"/>
    </row>
    <row r="3517" spans="1:12" x14ac:dyDescent="0.3">
      <c r="A3517" s="3"/>
      <c r="C3517" s="1"/>
      <c r="E3517" s="1"/>
      <c r="J3517" s="3"/>
      <c r="L3517" s="1"/>
    </row>
    <row r="3518" spans="1:12" x14ac:dyDescent="0.3">
      <c r="A3518" s="3"/>
      <c r="C3518" s="1"/>
      <c r="E3518" s="1"/>
      <c r="J3518" s="3"/>
      <c r="L3518" s="1"/>
    </row>
    <row r="3519" spans="1:12" x14ac:dyDescent="0.3">
      <c r="A3519" s="3"/>
      <c r="C3519" s="1"/>
      <c r="E3519" s="1"/>
      <c r="J3519" s="3"/>
      <c r="L3519" s="1"/>
    </row>
    <row r="3520" spans="1:12" x14ac:dyDescent="0.3">
      <c r="A3520" s="3"/>
      <c r="C3520" s="1"/>
      <c r="E3520" s="1"/>
      <c r="J3520" s="3"/>
      <c r="L3520" s="1"/>
    </row>
    <row r="3521" spans="1:12" x14ac:dyDescent="0.3">
      <c r="A3521" s="3"/>
      <c r="C3521" s="1"/>
      <c r="E3521" s="1"/>
      <c r="J3521" s="3"/>
      <c r="L3521" s="1"/>
    </row>
    <row r="3522" spans="1:12" x14ac:dyDescent="0.3">
      <c r="A3522" s="3"/>
      <c r="C3522" s="1"/>
      <c r="E3522" s="1"/>
      <c r="J3522" s="3"/>
      <c r="L3522" s="1"/>
    </row>
    <row r="3523" spans="1:12" x14ac:dyDescent="0.3">
      <c r="A3523" s="3"/>
      <c r="C3523" s="1"/>
      <c r="E3523" s="1"/>
      <c r="J3523" s="3"/>
      <c r="L3523" s="1"/>
    </row>
    <row r="3524" spans="1:12" x14ac:dyDescent="0.3">
      <c r="A3524" s="3"/>
      <c r="C3524" s="1"/>
      <c r="E3524" s="1"/>
      <c r="J3524" s="3"/>
      <c r="L3524" s="1"/>
    </row>
    <row r="3525" spans="1:12" x14ac:dyDescent="0.3">
      <c r="A3525" s="3"/>
      <c r="C3525" s="1"/>
      <c r="E3525" s="1"/>
      <c r="J3525" s="3"/>
      <c r="L3525" s="1"/>
    </row>
    <row r="3526" spans="1:12" x14ac:dyDescent="0.3">
      <c r="A3526" s="3"/>
      <c r="C3526" s="1"/>
      <c r="E3526" s="1"/>
      <c r="J3526" s="3"/>
      <c r="L3526" s="1"/>
    </row>
    <row r="3527" spans="1:12" x14ac:dyDescent="0.3">
      <c r="A3527" s="3"/>
      <c r="C3527" s="1"/>
      <c r="E3527" s="1"/>
      <c r="J3527" s="3"/>
      <c r="L3527" s="1"/>
    </row>
    <row r="3528" spans="1:12" x14ac:dyDescent="0.3">
      <c r="A3528" s="3"/>
      <c r="C3528" s="1"/>
      <c r="E3528" s="1"/>
      <c r="J3528" s="3"/>
      <c r="L3528" s="1"/>
    </row>
    <row r="3529" spans="1:12" x14ac:dyDescent="0.3">
      <c r="A3529" s="3"/>
      <c r="C3529" s="1"/>
      <c r="E3529" s="1"/>
      <c r="J3529" s="3"/>
      <c r="L3529" s="1"/>
    </row>
    <row r="3530" spans="1:12" x14ac:dyDescent="0.3">
      <c r="A3530" s="3"/>
      <c r="C3530" s="1"/>
      <c r="E3530" s="1"/>
      <c r="J3530" s="3"/>
      <c r="L3530" s="1"/>
    </row>
    <row r="3531" spans="1:12" x14ac:dyDescent="0.3">
      <c r="A3531" s="3"/>
      <c r="C3531" s="1"/>
      <c r="E3531" s="1"/>
      <c r="J3531" s="3"/>
      <c r="L3531" s="1"/>
    </row>
    <row r="3532" spans="1:12" x14ac:dyDescent="0.3">
      <c r="A3532" s="3"/>
      <c r="C3532" s="1"/>
      <c r="E3532" s="1"/>
      <c r="J3532" s="3"/>
      <c r="L3532" s="1"/>
    </row>
    <row r="3533" spans="1:12" x14ac:dyDescent="0.3">
      <c r="A3533" s="3"/>
      <c r="C3533" s="1"/>
      <c r="E3533" s="1"/>
      <c r="J3533" s="3"/>
      <c r="L3533" s="1"/>
    </row>
    <row r="3534" spans="1:12" x14ac:dyDescent="0.3">
      <c r="A3534" s="3"/>
      <c r="C3534" s="1"/>
      <c r="E3534" s="1"/>
      <c r="J3534" s="3"/>
      <c r="L3534" s="1"/>
    </row>
    <row r="3535" spans="1:12" x14ac:dyDescent="0.3">
      <c r="A3535" s="3"/>
      <c r="C3535" s="1"/>
      <c r="E3535" s="1"/>
      <c r="J3535" s="3"/>
      <c r="L3535" s="1"/>
    </row>
    <row r="3536" spans="1:12" x14ac:dyDescent="0.3">
      <c r="A3536" s="3"/>
      <c r="C3536" s="1"/>
      <c r="E3536" s="1"/>
      <c r="J3536" s="3"/>
      <c r="L3536" s="1"/>
    </row>
    <row r="3537" spans="1:12" x14ac:dyDescent="0.3">
      <c r="A3537" s="3"/>
      <c r="C3537" s="1"/>
      <c r="E3537" s="1"/>
      <c r="J3537" s="3"/>
      <c r="L3537" s="1"/>
    </row>
    <row r="3538" spans="1:12" x14ac:dyDescent="0.3">
      <c r="A3538" s="3"/>
      <c r="C3538" s="1"/>
      <c r="E3538" s="1"/>
      <c r="J3538" s="3"/>
      <c r="L3538" s="1"/>
    </row>
    <row r="3539" spans="1:12" x14ac:dyDescent="0.3">
      <c r="A3539" s="3"/>
      <c r="C3539" s="1"/>
      <c r="E3539" s="1"/>
      <c r="J3539" s="3"/>
      <c r="L3539" s="1"/>
    </row>
    <row r="3540" spans="1:12" x14ac:dyDescent="0.3">
      <c r="A3540" s="3"/>
      <c r="C3540" s="1"/>
      <c r="E3540" s="1"/>
      <c r="J3540" s="3"/>
      <c r="L3540" s="1"/>
    </row>
    <row r="3541" spans="1:12" x14ac:dyDescent="0.3">
      <c r="A3541" s="3"/>
      <c r="C3541" s="1"/>
      <c r="E3541" s="1"/>
      <c r="J3541" s="3"/>
      <c r="L3541" s="1"/>
    </row>
    <row r="3542" spans="1:12" x14ac:dyDescent="0.3">
      <c r="A3542" s="3"/>
      <c r="C3542" s="1"/>
      <c r="E3542" s="1"/>
      <c r="J3542" s="3"/>
      <c r="L3542" s="1"/>
    </row>
    <row r="3543" spans="1:12" x14ac:dyDescent="0.3">
      <c r="A3543" s="3"/>
      <c r="C3543" s="1"/>
      <c r="E3543" s="1"/>
      <c r="J3543" s="3"/>
      <c r="L3543" s="1"/>
    </row>
    <row r="3544" spans="1:12" x14ac:dyDescent="0.3">
      <c r="A3544" s="3"/>
      <c r="C3544" s="1"/>
      <c r="E3544" s="1"/>
      <c r="J3544" s="3"/>
      <c r="L3544" s="1"/>
    </row>
    <row r="3545" spans="1:12" x14ac:dyDescent="0.3">
      <c r="A3545" s="3"/>
      <c r="C3545" s="1"/>
      <c r="E3545" s="1"/>
      <c r="J3545" s="3"/>
      <c r="L3545" s="1"/>
    </row>
    <row r="3546" spans="1:12" x14ac:dyDescent="0.3">
      <c r="A3546" s="3"/>
      <c r="C3546" s="1"/>
      <c r="E3546" s="1"/>
      <c r="J3546" s="3"/>
      <c r="L3546" s="1"/>
    </row>
    <row r="3547" spans="1:12" x14ac:dyDescent="0.3">
      <c r="A3547" s="3"/>
      <c r="C3547" s="1"/>
      <c r="E3547" s="1"/>
      <c r="J3547" s="3"/>
      <c r="L3547" s="1"/>
    </row>
    <row r="3548" spans="1:12" x14ac:dyDescent="0.3">
      <c r="A3548" s="3"/>
      <c r="C3548" s="1"/>
      <c r="E3548" s="1"/>
      <c r="J3548" s="3"/>
      <c r="L3548" s="1"/>
    </row>
    <row r="3549" spans="1:12" x14ac:dyDescent="0.3">
      <c r="A3549" s="3"/>
      <c r="C3549" s="1"/>
      <c r="E3549" s="1"/>
      <c r="J3549" s="3"/>
      <c r="L3549" s="1"/>
    </row>
    <row r="3550" spans="1:12" x14ac:dyDescent="0.3">
      <c r="A3550" s="3"/>
      <c r="C3550" s="1"/>
      <c r="E3550" s="1"/>
      <c r="J3550" s="3"/>
      <c r="L3550" s="1"/>
    </row>
    <row r="3551" spans="1:12" x14ac:dyDescent="0.3">
      <c r="A3551" s="3"/>
      <c r="C3551" s="1"/>
      <c r="E3551" s="1"/>
      <c r="J3551" s="3"/>
      <c r="L3551" s="1"/>
    </row>
    <row r="3552" spans="1:12" x14ac:dyDescent="0.3">
      <c r="A3552" s="3"/>
      <c r="C3552" s="1"/>
      <c r="E3552" s="1"/>
      <c r="J3552" s="3"/>
      <c r="L3552" s="1"/>
    </row>
    <row r="3553" spans="1:12" x14ac:dyDescent="0.3">
      <c r="A3553" s="3"/>
      <c r="C3553" s="1"/>
      <c r="E3553" s="1"/>
      <c r="J3553" s="3"/>
      <c r="L3553" s="1"/>
    </row>
    <row r="3554" spans="1:12" x14ac:dyDescent="0.3">
      <c r="A3554" s="3"/>
      <c r="C3554" s="1"/>
      <c r="E3554" s="1"/>
      <c r="J3554" s="3"/>
      <c r="L3554" s="1"/>
    </row>
    <row r="3555" spans="1:12" x14ac:dyDescent="0.3">
      <c r="A3555" s="3"/>
      <c r="C3555" s="1"/>
      <c r="E3555" s="1"/>
      <c r="J3555" s="3"/>
      <c r="L3555" s="1"/>
    </row>
    <row r="3556" spans="1:12" x14ac:dyDescent="0.3">
      <c r="A3556" s="3"/>
      <c r="C3556" s="1"/>
      <c r="E3556" s="1"/>
      <c r="J3556" s="3"/>
      <c r="L3556" s="1"/>
    </row>
    <row r="3557" spans="1:12" x14ac:dyDescent="0.3">
      <c r="A3557" s="3"/>
      <c r="C3557" s="1"/>
      <c r="E3557" s="1"/>
      <c r="J3557" s="3"/>
      <c r="L3557" s="1"/>
    </row>
    <row r="3558" spans="1:12" x14ac:dyDescent="0.3">
      <c r="A3558" s="3"/>
      <c r="C3558" s="1"/>
      <c r="E3558" s="1"/>
      <c r="J3558" s="3"/>
      <c r="L3558" s="1"/>
    </row>
    <row r="3559" spans="1:12" x14ac:dyDescent="0.3">
      <c r="A3559" s="3"/>
      <c r="C3559" s="1"/>
      <c r="E3559" s="1"/>
      <c r="J3559" s="3"/>
      <c r="L3559" s="1"/>
    </row>
    <row r="3560" spans="1:12" x14ac:dyDescent="0.3">
      <c r="A3560" s="3"/>
      <c r="C3560" s="1"/>
      <c r="E3560" s="1"/>
      <c r="J3560" s="3"/>
      <c r="L3560" s="1"/>
    </row>
    <row r="3561" spans="1:12" x14ac:dyDescent="0.3">
      <c r="A3561" s="3"/>
      <c r="C3561" s="1"/>
      <c r="E3561" s="1"/>
      <c r="J3561" s="3"/>
      <c r="L3561" s="1"/>
    </row>
    <row r="3562" spans="1:12" x14ac:dyDescent="0.3">
      <c r="A3562" s="3"/>
      <c r="C3562" s="1"/>
      <c r="E3562" s="1"/>
      <c r="J3562" s="3"/>
      <c r="L3562" s="1"/>
    </row>
    <row r="3563" spans="1:12" x14ac:dyDescent="0.3">
      <c r="A3563" s="3"/>
      <c r="C3563" s="1"/>
      <c r="E3563" s="1"/>
      <c r="J3563" s="3"/>
      <c r="L3563" s="1"/>
    </row>
    <row r="3564" spans="1:12" x14ac:dyDescent="0.3">
      <c r="A3564" s="3"/>
      <c r="C3564" s="1"/>
      <c r="E3564" s="1"/>
      <c r="J3564" s="3"/>
      <c r="L3564" s="1"/>
    </row>
    <row r="3565" spans="1:12" x14ac:dyDescent="0.3">
      <c r="A3565" s="3"/>
      <c r="C3565" s="1"/>
      <c r="E3565" s="1"/>
      <c r="J3565" s="3"/>
      <c r="L3565" s="1"/>
    </row>
    <row r="3566" spans="1:12" x14ac:dyDescent="0.3">
      <c r="A3566" s="3"/>
      <c r="C3566" s="1"/>
      <c r="E3566" s="1"/>
      <c r="J3566" s="3"/>
      <c r="L3566" s="1"/>
    </row>
    <row r="3567" spans="1:12" x14ac:dyDescent="0.3">
      <c r="A3567" s="3"/>
      <c r="C3567" s="1"/>
      <c r="E3567" s="1"/>
      <c r="J3567" s="3"/>
      <c r="L3567" s="1"/>
    </row>
    <row r="3568" spans="1:12" x14ac:dyDescent="0.3">
      <c r="A3568" s="3"/>
      <c r="C3568" s="1"/>
      <c r="E3568" s="1"/>
      <c r="J3568" s="3"/>
      <c r="L3568" s="1"/>
    </row>
    <row r="3569" spans="1:12" x14ac:dyDescent="0.3">
      <c r="A3569" s="3"/>
      <c r="C3569" s="1"/>
      <c r="E3569" s="1"/>
      <c r="J3569" s="3"/>
      <c r="L3569" s="1"/>
    </row>
    <row r="3570" spans="1:12" x14ac:dyDescent="0.3">
      <c r="A3570" s="3"/>
      <c r="C3570" s="1"/>
      <c r="E3570" s="1"/>
      <c r="J3570" s="3"/>
      <c r="L3570" s="1"/>
    </row>
    <row r="3571" spans="1:12" x14ac:dyDescent="0.3">
      <c r="A3571" s="3"/>
      <c r="C3571" s="1"/>
      <c r="E3571" s="1"/>
      <c r="J3571" s="3"/>
      <c r="L3571" s="1"/>
    </row>
    <row r="3572" spans="1:12" x14ac:dyDescent="0.3">
      <c r="A3572" s="3"/>
      <c r="C3572" s="1"/>
      <c r="E3572" s="1"/>
      <c r="J3572" s="3"/>
      <c r="L3572" s="1"/>
    </row>
    <row r="3573" spans="1:12" x14ac:dyDescent="0.3">
      <c r="A3573" s="3"/>
      <c r="C3573" s="1"/>
      <c r="E3573" s="1"/>
      <c r="J3573" s="3"/>
      <c r="L3573" s="1"/>
    </row>
    <row r="3574" spans="1:12" x14ac:dyDescent="0.3">
      <c r="A3574" s="3"/>
      <c r="C3574" s="1"/>
      <c r="E3574" s="1"/>
      <c r="J3574" s="3"/>
      <c r="L3574" s="1"/>
    </row>
    <row r="3575" spans="1:12" x14ac:dyDescent="0.3">
      <c r="A3575" s="3"/>
      <c r="C3575" s="1"/>
      <c r="E3575" s="1"/>
      <c r="J3575" s="3"/>
      <c r="L3575" s="1"/>
    </row>
    <row r="3576" spans="1:12" x14ac:dyDescent="0.3">
      <c r="A3576" s="3"/>
      <c r="C3576" s="1"/>
      <c r="E3576" s="1"/>
      <c r="J3576" s="3"/>
      <c r="L3576" s="1"/>
    </row>
    <row r="3577" spans="1:12" x14ac:dyDescent="0.3">
      <c r="A3577" s="3"/>
      <c r="C3577" s="1"/>
      <c r="E3577" s="1"/>
      <c r="J3577" s="3"/>
      <c r="L3577" s="1"/>
    </row>
    <row r="3578" spans="1:12" x14ac:dyDescent="0.3">
      <c r="A3578" s="3"/>
      <c r="C3578" s="1"/>
      <c r="E3578" s="1"/>
      <c r="J3578" s="3"/>
      <c r="L3578" s="1"/>
    </row>
    <row r="3579" spans="1:12" x14ac:dyDescent="0.3">
      <c r="A3579" s="3"/>
      <c r="C3579" s="1"/>
      <c r="E3579" s="1"/>
      <c r="J3579" s="3"/>
      <c r="L3579" s="1"/>
    </row>
    <row r="3580" spans="1:12" x14ac:dyDescent="0.3">
      <c r="A3580" s="3"/>
      <c r="C3580" s="1"/>
      <c r="E3580" s="1"/>
      <c r="J3580" s="3"/>
      <c r="L3580" s="1"/>
    </row>
    <row r="3581" spans="1:12" x14ac:dyDescent="0.3">
      <c r="A3581" s="3"/>
      <c r="C3581" s="1"/>
      <c r="E3581" s="1"/>
      <c r="J3581" s="3"/>
      <c r="L3581" s="1"/>
    </row>
    <row r="3582" spans="1:12" x14ac:dyDescent="0.3">
      <c r="A3582" s="3"/>
      <c r="C3582" s="1"/>
      <c r="E3582" s="1"/>
      <c r="J3582" s="3"/>
      <c r="L3582" s="1"/>
    </row>
    <row r="3583" spans="1:12" x14ac:dyDescent="0.3">
      <c r="A3583" s="3"/>
      <c r="C3583" s="1"/>
      <c r="E3583" s="1"/>
      <c r="J3583" s="3"/>
      <c r="L3583" s="1"/>
    </row>
    <row r="3584" spans="1:12" x14ac:dyDescent="0.3">
      <c r="A3584" s="3"/>
      <c r="C3584" s="1"/>
      <c r="E3584" s="1"/>
      <c r="J3584" s="3"/>
      <c r="L3584" s="1"/>
    </row>
    <row r="3585" spans="1:12" x14ac:dyDescent="0.3">
      <c r="A3585" s="3"/>
      <c r="C3585" s="1"/>
      <c r="E3585" s="1"/>
      <c r="J3585" s="3"/>
      <c r="L3585" s="1"/>
    </row>
    <row r="3586" spans="1:12" x14ac:dyDescent="0.3">
      <c r="A3586" s="3"/>
      <c r="C3586" s="1"/>
      <c r="E3586" s="1"/>
      <c r="J3586" s="3"/>
      <c r="L3586" s="1"/>
    </row>
    <row r="3587" spans="1:12" x14ac:dyDescent="0.3">
      <c r="A3587" s="3"/>
      <c r="C3587" s="1"/>
      <c r="E3587" s="1"/>
      <c r="J3587" s="3"/>
      <c r="L3587" s="1"/>
    </row>
    <row r="3588" spans="1:12" x14ac:dyDescent="0.3">
      <c r="A3588" s="3"/>
      <c r="C3588" s="1"/>
      <c r="E3588" s="1"/>
      <c r="J3588" s="3"/>
      <c r="L3588" s="1"/>
    </row>
    <row r="3589" spans="1:12" x14ac:dyDescent="0.3">
      <c r="A3589" s="3"/>
      <c r="C3589" s="1"/>
      <c r="E3589" s="1"/>
      <c r="J3589" s="3"/>
      <c r="L3589" s="1"/>
    </row>
    <row r="3590" spans="1:12" x14ac:dyDescent="0.3">
      <c r="A3590" s="3"/>
      <c r="C3590" s="1"/>
      <c r="E3590" s="1"/>
      <c r="J3590" s="3"/>
      <c r="L3590" s="1"/>
    </row>
    <row r="3591" spans="1:12" x14ac:dyDescent="0.3">
      <c r="A3591" s="3"/>
      <c r="C3591" s="1"/>
      <c r="E3591" s="1"/>
      <c r="J3591" s="3"/>
      <c r="L3591" s="1"/>
    </row>
    <row r="3592" spans="1:12" x14ac:dyDescent="0.3">
      <c r="A3592" s="3"/>
      <c r="C3592" s="1"/>
      <c r="E3592" s="1"/>
      <c r="J3592" s="3"/>
      <c r="L3592" s="1"/>
    </row>
    <row r="3593" spans="1:12" x14ac:dyDescent="0.3">
      <c r="A3593" s="3"/>
      <c r="C3593" s="1"/>
      <c r="E3593" s="1"/>
      <c r="J3593" s="3"/>
      <c r="L3593" s="1"/>
    </row>
    <row r="3594" spans="1:12" x14ac:dyDescent="0.3">
      <c r="A3594" s="3"/>
      <c r="C3594" s="1"/>
      <c r="E3594" s="1"/>
      <c r="J3594" s="3"/>
      <c r="L3594" s="1"/>
    </row>
    <row r="3595" spans="1:12" x14ac:dyDescent="0.3">
      <c r="A3595" s="3"/>
      <c r="C3595" s="1"/>
      <c r="E3595" s="1"/>
      <c r="J3595" s="3"/>
      <c r="L3595" s="1"/>
    </row>
    <row r="3596" spans="1:12" x14ac:dyDescent="0.3">
      <c r="A3596" s="3"/>
      <c r="C3596" s="1"/>
      <c r="E3596" s="1"/>
      <c r="J3596" s="3"/>
      <c r="L3596" s="1"/>
    </row>
    <row r="3597" spans="1:12" x14ac:dyDescent="0.3">
      <c r="A3597" s="3"/>
      <c r="C3597" s="1"/>
      <c r="E3597" s="1"/>
      <c r="J3597" s="3"/>
      <c r="L3597" s="1"/>
    </row>
    <row r="3598" spans="1:12" x14ac:dyDescent="0.3">
      <c r="A3598" s="3"/>
      <c r="C3598" s="1"/>
      <c r="E3598" s="1"/>
      <c r="J3598" s="3"/>
      <c r="L3598" s="1"/>
    </row>
    <row r="3599" spans="1:12" x14ac:dyDescent="0.3">
      <c r="A3599" s="3"/>
      <c r="C3599" s="1"/>
      <c r="E3599" s="1"/>
      <c r="J3599" s="3"/>
      <c r="L3599" s="1"/>
    </row>
    <row r="3600" spans="1:12" x14ac:dyDescent="0.3">
      <c r="A3600" s="3"/>
      <c r="C3600" s="1"/>
      <c r="E3600" s="1"/>
      <c r="J3600" s="3"/>
      <c r="L3600" s="1"/>
    </row>
    <row r="3601" spans="1:12" x14ac:dyDescent="0.3">
      <c r="A3601" s="3"/>
      <c r="C3601" s="1"/>
      <c r="E3601" s="1"/>
      <c r="J3601" s="3"/>
      <c r="L3601" s="1"/>
    </row>
    <row r="3602" spans="1:12" x14ac:dyDescent="0.3">
      <c r="A3602" s="3"/>
      <c r="C3602" s="1"/>
      <c r="E3602" s="1"/>
      <c r="J3602" s="3"/>
      <c r="L3602" s="1"/>
    </row>
    <row r="3603" spans="1:12" x14ac:dyDescent="0.3">
      <c r="A3603" s="3"/>
      <c r="C3603" s="1"/>
      <c r="E3603" s="1"/>
      <c r="J3603" s="3"/>
      <c r="L3603" s="1"/>
    </row>
    <row r="3604" spans="1:12" x14ac:dyDescent="0.3">
      <c r="A3604" s="3"/>
      <c r="C3604" s="1"/>
      <c r="E3604" s="1"/>
      <c r="J3604" s="3"/>
      <c r="L3604" s="1"/>
    </row>
    <row r="3605" spans="1:12" x14ac:dyDescent="0.3">
      <c r="A3605" s="3"/>
      <c r="C3605" s="1"/>
      <c r="E3605" s="1"/>
      <c r="J3605" s="3"/>
      <c r="L3605" s="1"/>
    </row>
    <row r="3606" spans="1:12" x14ac:dyDescent="0.3">
      <c r="A3606" s="3"/>
      <c r="C3606" s="1"/>
      <c r="E3606" s="1"/>
      <c r="J3606" s="3"/>
      <c r="L3606" s="1"/>
    </row>
    <row r="3607" spans="1:12" x14ac:dyDescent="0.3">
      <c r="A3607" s="3"/>
      <c r="C3607" s="1"/>
      <c r="E3607" s="1"/>
      <c r="J3607" s="3"/>
      <c r="L3607" s="1"/>
    </row>
    <row r="3608" spans="1:12" x14ac:dyDescent="0.3">
      <c r="A3608" s="3"/>
      <c r="C3608" s="1"/>
      <c r="E3608" s="1"/>
      <c r="J3608" s="3"/>
      <c r="L3608" s="1"/>
    </row>
    <row r="3609" spans="1:12" x14ac:dyDescent="0.3">
      <c r="A3609" s="3"/>
      <c r="C3609" s="1"/>
      <c r="E3609" s="1"/>
      <c r="J3609" s="3"/>
      <c r="L3609" s="1"/>
    </row>
    <row r="3610" spans="1:12" x14ac:dyDescent="0.3">
      <c r="A3610" s="3"/>
      <c r="C3610" s="1"/>
      <c r="E3610" s="1"/>
      <c r="J3610" s="3"/>
      <c r="L3610" s="1"/>
    </row>
    <row r="3611" spans="1:12" x14ac:dyDescent="0.3">
      <c r="A3611" s="3"/>
      <c r="C3611" s="1"/>
      <c r="E3611" s="1"/>
      <c r="J3611" s="3"/>
      <c r="L3611" s="1"/>
    </row>
    <row r="3612" spans="1:12" x14ac:dyDescent="0.3">
      <c r="A3612" s="3"/>
      <c r="C3612" s="1"/>
      <c r="E3612" s="1"/>
      <c r="J3612" s="3"/>
      <c r="L3612" s="1"/>
    </row>
    <row r="3613" spans="1:12" x14ac:dyDescent="0.3">
      <c r="A3613" s="3"/>
      <c r="C3613" s="1"/>
      <c r="E3613" s="1"/>
      <c r="J3613" s="3"/>
      <c r="L3613" s="1"/>
    </row>
    <row r="3614" spans="1:12" x14ac:dyDescent="0.3">
      <c r="A3614" s="3"/>
      <c r="C3614" s="1"/>
      <c r="E3614" s="1"/>
      <c r="J3614" s="3"/>
      <c r="L3614" s="1"/>
    </row>
    <row r="3615" spans="1:12" x14ac:dyDescent="0.3">
      <c r="A3615" s="3"/>
      <c r="C3615" s="1"/>
      <c r="E3615" s="1"/>
      <c r="J3615" s="3"/>
      <c r="L3615" s="1"/>
    </row>
    <row r="3616" spans="1:12" x14ac:dyDescent="0.3">
      <c r="A3616" s="3"/>
      <c r="C3616" s="1"/>
      <c r="E3616" s="1"/>
      <c r="J3616" s="3"/>
      <c r="L3616" s="1"/>
    </row>
    <row r="3617" spans="1:12" x14ac:dyDescent="0.3">
      <c r="A3617" s="3"/>
      <c r="C3617" s="1"/>
      <c r="E3617" s="1"/>
      <c r="J3617" s="3"/>
      <c r="L3617" s="1"/>
    </row>
    <row r="3618" spans="1:12" x14ac:dyDescent="0.3">
      <c r="A3618" s="3"/>
      <c r="C3618" s="1"/>
      <c r="E3618" s="1"/>
      <c r="J3618" s="3"/>
      <c r="L3618" s="1"/>
    </row>
    <row r="3619" spans="1:12" x14ac:dyDescent="0.3">
      <c r="A3619" s="3"/>
      <c r="C3619" s="1"/>
      <c r="E3619" s="1"/>
      <c r="J3619" s="3"/>
      <c r="L3619" s="1"/>
    </row>
    <row r="3620" spans="1:12" x14ac:dyDescent="0.3">
      <c r="A3620" s="3"/>
      <c r="C3620" s="1"/>
      <c r="E3620" s="1"/>
      <c r="J3620" s="3"/>
      <c r="L3620" s="1"/>
    </row>
    <row r="3621" spans="1:12" x14ac:dyDescent="0.3">
      <c r="A3621" s="3"/>
      <c r="C3621" s="1"/>
      <c r="E3621" s="1"/>
      <c r="J3621" s="3"/>
      <c r="L3621" s="1"/>
    </row>
    <row r="3622" spans="1:12" x14ac:dyDescent="0.3">
      <c r="A3622" s="3"/>
      <c r="C3622" s="1"/>
      <c r="E3622" s="1"/>
      <c r="J3622" s="3"/>
      <c r="L3622" s="1"/>
    </row>
    <row r="3623" spans="1:12" x14ac:dyDescent="0.3">
      <c r="A3623" s="3"/>
      <c r="C3623" s="1"/>
      <c r="E3623" s="1"/>
      <c r="J3623" s="3"/>
      <c r="L3623" s="1"/>
    </row>
    <row r="3624" spans="1:12" x14ac:dyDescent="0.3">
      <c r="A3624" s="3"/>
      <c r="C3624" s="1"/>
      <c r="E3624" s="1"/>
      <c r="J3624" s="3"/>
      <c r="L3624" s="1"/>
    </row>
    <row r="3625" spans="1:12" x14ac:dyDescent="0.3">
      <c r="A3625" s="3"/>
      <c r="C3625" s="1"/>
      <c r="E3625" s="1"/>
      <c r="J3625" s="3"/>
      <c r="L3625" s="1"/>
    </row>
    <row r="3626" spans="1:12" x14ac:dyDescent="0.3">
      <c r="A3626" s="3"/>
      <c r="C3626" s="1"/>
      <c r="E3626" s="1"/>
      <c r="J3626" s="3"/>
      <c r="L3626" s="1"/>
    </row>
    <row r="3627" spans="1:12" x14ac:dyDescent="0.3">
      <c r="A3627" s="3"/>
      <c r="C3627" s="1"/>
      <c r="E3627" s="1"/>
      <c r="J3627" s="3"/>
      <c r="L3627" s="1"/>
    </row>
    <row r="3628" spans="1:12" x14ac:dyDescent="0.3">
      <c r="A3628" s="3"/>
      <c r="C3628" s="1"/>
      <c r="E3628" s="1"/>
      <c r="J3628" s="3"/>
      <c r="L3628" s="1"/>
    </row>
    <row r="3629" spans="1:12" x14ac:dyDescent="0.3">
      <c r="A3629" s="3"/>
      <c r="C3629" s="1"/>
      <c r="E3629" s="1"/>
      <c r="J3629" s="3"/>
      <c r="L3629" s="1"/>
    </row>
    <row r="3630" spans="1:12" x14ac:dyDescent="0.3">
      <c r="A3630" s="3"/>
      <c r="C3630" s="1"/>
      <c r="E3630" s="1"/>
      <c r="J3630" s="3"/>
      <c r="L3630" s="1"/>
    </row>
    <row r="3631" spans="1:12" x14ac:dyDescent="0.3">
      <c r="A3631" s="3"/>
      <c r="C3631" s="1"/>
      <c r="E3631" s="1"/>
      <c r="J3631" s="3"/>
      <c r="L3631" s="1"/>
    </row>
    <row r="3632" spans="1:12" x14ac:dyDescent="0.3">
      <c r="A3632" s="3"/>
      <c r="C3632" s="1"/>
      <c r="E3632" s="1"/>
      <c r="J3632" s="3"/>
      <c r="L3632" s="1"/>
    </row>
    <row r="3633" spans="1:12" x14ac:dyDescent="0.3">
      <c r="A3633" s="3"/>
      <c r="C3633" s="1"/>
      <c r="E3633" s="1"/>
      <c r="J3633" s="3"/>
      <c r="L3633" s="1"/>
    </row>
    <row r="3634" spans="1:12" x14ac:dyDescent="0.3">
      <c r="A3634" s="3"/>
      <c r="C3634" s="1"/>
      <c r="E3634" s="1"/>
      <c r="J3634" s="3"/>
      <c r="L3634" s="1"/>
    </row>
    <row r="3635" spans="1:12" x14ac:dyDescent="0.3">
      <c r="A3635" s="3"/>
      <c r="C3635" s="1"/>
      <c r="E3635" s="1"/>
      <c r="J3635" s="3"/>
      <c r="L3635" s="1"/>
    </row>
    <row r="3636" spans="1:12" x14ac:dyDescent="0.3">
      <c r="A3636" s="3"/>
      <c r="C3636" s="1"/>
      <c r="E3636" s="1"/>
      <c r="J3636" s="3"/>
      <c r="L3636" s="1"/>
    </row>
    <row r="3637" spans="1:12" x14ac:dyDescent="0.3">
      <c r="A3637" s="3"/>
      <c r="C3637" s="1"/>
      <c r="E3637" s="1"/>
      <c r="J3637" s="3"/>
      <c r="L3637" s="1"/>
    </row>
    <row r="3638" spans="1:12" x14ac:dyDescent="0.3">
      <c r="A3638" s="3"/>
      <c r="C3638" s="1"/>
      <c r="E3638" s="1"/>
      <c r="J3638" s="3"/>
      <c r="L3638" s="1"/>
    </row>
    <row r="3639" spans="1:12" x14ac:dyDescent="0.3">
      <c r="A3639" s="3"/>
      <c r="C3639" s="1"/>
      <c r="E3639" s="1"/>
      <c r="J3639" s="3"/>
      <c r="L3639" s="1"/>
    </row>
    <row r="3640" spans="1:12" x14ac:dyDescent="0.3">
      <c r="A3640" s="3"/>
      <c r="C3640" s="1"/>
      <c r="E3640" s="1"/>
      <c r="J3640" s="3"/>
      <c r="L3640" s="1"/>
    </row>
    <row r="3641" spans="1:12" x14ac:dyDescent="0.3">
      <c r="A3641" s="3"/>
      <c r="C3641" s="1"/>
      <c r="E3641" s="1"/>
      <c r="J3641" s="3"/>
      <c r="L3641" s="1"/>
    </row>
    <row r="3642" spans="1:12" x14ac:dyDescent="0.3">
      <c r="A3642" s="3"/>
      <c r="C3642" s="1"/>
      <c r="E3642" s="1"/>
      <c r="J3642" s="3"/>
      <c r="L3642" s="1"/>
    </row>
    <row r="3643" spans="1:12" x14ac:dyDescent="0.3">
      <c r="A3643" s="3"/>
      <c r="C3643" s="1"/>
      <c r="E3643" s="1"/>
      <c r="J3643" s="3"/>
      <c r="L3643" s="1"/>
    </row>
    <row r="3644" spans="1:12" x14ac:dyDescent="0.3">
      <c r="A3644" s="3"/>
      <c r="C3644" s="1"/>
      <c r="E3644" s="1"/>
      <c r="J3644" s="3"/>
      <c r="L3644" s="1"/>
    </row>
    <row r="3645" spans="1:12" x14ac:dyDescent="0.3">
      <c r="A3645" s="3"/>
      <c r="C3645" s="1"/>
      <c r="E3645" s="1"/>
      <c r="J3645" s="3"/>
      <c r="L3645" s="1"/>
    </row>
    <row r="3646" spans="1:12" x14ac:dyDescent="0.3">
      <c r="A3646" s="3"/>
      <c r="C3646" s="1"/>
      <c r="E3646" s="1"/>
      <c r="J3646" s="3"/>
      <c r="L3646" s="1"/>
    </row>
    <row r="3647" spans="1:12" x14ac:dyDescent="0.3">
      <c r="A3647" s="3"/>
      <c r="C3647" s="1"/>
      <c r="E3647" s="1"/>
      <c r="J3647" s="3"/>
      <c r="L3647" s="1"/>
    </row>
    <row r="3648" spans="1:12" x14ac:dyDescent="0.3">
      <c r="A3648" s="3"/>
      <c r="C3648" s="1"/>
      <c r="E3648" s="1"/>
      <c r="J3648" s="3"/>
      <c r="L3648" s="1"/>
    </row>
    <row r="3649" spans="1:12" x14ac:dyDescent="0.3">
      <c r="A3649" s="3"/>
      <c r="C3649" s="1"/>
      <c r="E3649" s="1"/>
      <c r="J3649" s="3"/>
      <c r="L3649" s="1"/>
    </row>
    <row r="3650" spans="1:12" x14ac:dyDescent="0.3">
      <c r="A3650" s="3"/>
      <c r="C3650" s="1"/>
      <c r="E3650" s="1"/>
      <c r="J3650" s="3"/>
      <c r="L3650" s="1"/>
    </row>
    <row r="3651" spans="1:12" x14ac:dyDescent="0.3">
      <c r="A3651" s="3"/>
      <c r="C3651" s="1"/>
      <c r="E3651" s="1"/>
      <c r="J3651" s="3"/>
      <c r="L3651" s="1"/>
    </row>
    <row r="3652" spans="1:12" x14ac:dyDescent="0.3">
      <c r="A3652" s="3"/>
      <c r="C3652" s="1"/>
      <c r="E3652" s="1"/>
      <c r="J3652" s="3"/>
      <c r="L3652" s="1"/>
    </row>
    <row r="3653" spans="1:12" x14ac:dyDescent="0.3">
      <c r="A3653" s="3"/>
      <c r="C3653" s="1"/>
      <c r="E3653" s="1"/>
      <c r="J3653" s="3"/>
      <c r="L3653" s="1"/>
    </row>
    <row r="3654" spans="1:12" x14ac:dyDescent="0.3">
      <c r="A3654" s="3"/>
      <c r="C3654" s="1"/>
      <c r="E3654" s="1"/>
      <c r="J3654" s="3"/>
      <c r="L3654" s="1"/>
    </row>
    <row r="3655" spans="1:12" x14ac:dyDescent="0.3">
      <c r="A3655" s="3"/>
      <c r="C3655" s="1"/>
      <c r="E3655" s="1"/>
      <c r="J3655" s="3"/>
      <c r="L3655" s="1"/>
    </row>
    <row r="3656" spans="1:12" x14ac:dyDescent="0.3">
      <c r="A3656" s="3"/>
      <c r="C3656" s="1"/>
      <c r="E3656" s="1"/>
      <c r="J3656" s="3"/>
      <c r="L3656" s="1"/>
    </row>
    <row r="3657" spans="1:12" x14ac:dyDescent="0.3">
      <c r="A3657" s="3"/>
      <c r="C3657" s="1"/>
      <c r="E3657" s="1"/>
      <c r="J3657" s="3"/>
      <c r="L3657" s="1"/>
    </row>
    <row r="3658" spans="1:12" x14ac:dyDescent="0.3">
      <c r="A3658" s="3"/>
      <c r="C3658" s="1"/>
      <c r="E3658" s="1"/>
      <c r="J3658" s="3"/>
      <c r="L3658" s="1"/>
    </row>
    <row r="3659" spans="1:12" x14ac:dyDescent="0.3">
      <c r="A3659" s="3"/>
      <c r="C3659" s="1"/>
      <c r="E3659" s="1"/>
      <c r="J3659" s="3"/>
      <c r="L3659" s="1"/>
    </row>
    <row r="3660" spans="1:12" x14ac:dyDescent="0.3">
      <c r="A3660" s="3"/>
      <c r="C3660" s="1"/>
      <c r="E3660" s="1"/>
      <c r="J3660" s="3"/>
      <c r="L3660" s="1"/>
    </row>
    <row r="3661" spans="1:12" x14ac:dyDescent="0.3">
      <c r="A3661" s="3"/>
      <c r="C3661" s="1"/>
      <c r="E3661" s="1"/>
      <c r="J3661" s="3"/>
      <c r="L3661" s="1"/>
    </row>
    <row r="3662" spans="1:12" x14ac:dyDescent="0.3">
      <c r="A3662" s="3"/>
      <c r="C3662" s="1"/>
      <c r="E3662" s="1"/>
      <c r="J3662" s="3"/>
      <c r="L3662" s="1"/>
    </row>
    <row r="3663" spans="1:12" x14ac:dyDescent="0.3">
      <c r="A3663" s="3"/>
      <c r="C3663" s="1"/>
      <c r="E3663" s="1"/>
      <c r="J3663" s="3"/>
      <c r="L3663" s="1"/>
    </row>
    <row r="3664" spans="1:12" x14ac:dyDescent="0.3">
      <c r="A3664" s="3"/>
      <c r="C3664" s="1"/>
      <c r="E3664" s="1"/>
      <c r="J3664" s="3"/>
      <c r="L3664" s="1"/>
    </row>
    <row r="3665" spans="1:12" x14ac:dyDescent="0.3">
      <c r="A3665" s="3"/>
      <c r="C3665" s="1"/>
      <c r="E3665" s="1"/>
      <c r="J3665" s="3"/>
      <c r="L3665" s="1"/>
    </row>
    <row r="3666" spans="1:12" x14ac:dyDescent="0.3">
      <c r="A3666" s="3"/>
      <c r="C3666" s="1"/>
      <c r="E3666" s="1"/>
      <c r="J3666" s="3"/>
      <c r="L3666" s="1"/>
    </row>
    <row r="3667" spans="1:12" x14ac:dyDescent="0.3">
      <c r="A3667" s="3"/>
      <c r="C3667" s="1"/>
      <c r="E3667" s="1"/>
      <c r="J3667" s="3"/>
      <c r="L3667" s="1"/>
    </row>
    <row r="3668" spans="1:12" x14ac:dyDescent="0.3">
      <c r="A3668" s="3"/>
      <c r="C3668" s="1"/>
      <c r="E3668" s="1"/>
      <c r="J3668" s="3"/>
      <c r="L3668" s="1"/>
    </row>
    <row r="3669" spans="1:12" x14ac:dyDescent="0.3">
      <c r="A3669" s="3"/>
      <c r="C3669" s="1"/>
      <c r="E3669" s="1"/>
      <c r="J3669" s="3"/>
      <c r="L3669" s="1"/>
    </row>
    <row r="3670" spans="1:12" x14ac:dyDescent="0.3">
      <c r="A3670" s="3"/>
      <c r="C3670" s="1"/>
      <c r="E3670" s="1"/>
      <c r="J3670" s="3"/>
      <c r="L3670" s="1"/>
    </row>
    <row r="3671" spans="1:12" x14ac:dyDescent="0.3">
      <c r="A3671" s="3"/>
      <c r="C3671" s="1"/>
      <c r="E3671" s="1"/>
      <c r="J3671" s="3"/>
      <c r="L3671" s="1"/>
    </row>
    <row r="3672" spans="1:12" x14ac:dyDescent="0.3">
      <c r="A3672" s="3"/>
      <c r="C3672" s="1"/>
      <c r="E3672" s="1"/>
      <c r="J3672" s="3"/>
      <c r="L3672" s="1"/>
    </row>
    <row r="3673" spans="1:12" x14ac:dyDescent="0.3">
      <c r="A3673" s="3"/>
      <c r="C3673" s="1"/>
      <c r="E3673" s="1"/>
      <c r="J3673" s="3"/>
      <c r="L3673" s="1"/>
    </row>
    <row r="3674" spans="1:12" x14ac:dyDescent="0.3">
      <c r="A3674" s="3"/>
      <c r="C3674" s="1"/>
      <c r="E3674" s="1"/>
      <c r="J3674" s="3"/>
      <c r="L3674" s="1"/>
    </row>
    <row r="3675" spans="1:12" x14ac:dyDescent="0.3">
      <c r="A3675" s="3"/>
      <c r="C3675" s="1"/>
      <c r="E3675" s="1"/>
      <c r="J3675" s="3"/>
      <c r="L3675" s="1"/>
    </row>
    <row r="3676" spans="1:12" x14ac:dyDescent="0.3">
      <c r="A3676" s="3"/>
      <c r="C3676" s="1"/>
      <c r="E3676" s="1"/>
      <c r="J3676" s="3"/>
      <c r="L3676" s="1"/>
    </row>
    <row r="3677" spans="1:12" x14ac:dyDescent="0.3">
      <c r="A3677" s="3"/>
      <c r="C3677" s="1"/>
      <c r="E3677" s="1"/>
      <c r="J3677" s="3"/>
      <c r="L3677" s="1"/>
    </row>
    <row r="3678" spans="1:12" x14ac:dyDescent="0.3">
      <c r="A3678" s="3"/>
      <c r="C3678" s="1"/>
      <c r="E3678" s="1"/>
      <c r="J3678" s="3"/>
      <c r="L3678" s="1"/>
    </row>
    <row r="3679" spans="1:12" x14ac:dyDescent="0.3">
      <c r="A3679" s="3"/>
      <c r="C3679" s="1"/>
      <c r="E3679" s="1"/>
      <c r="J3679" s="3"/>
      <c r="L3679" s="1"/>
    </row>
    <row r="3680" spans="1:12" x14ac:dyDescent="0.3">
      <c r="A3680" s="3"/>
      <c r="C3680" s="1"/>
      <c r="E3680" s="1"/>
      <c r="J3680" s="3"/>
      <c r="L3680" s="1"/>
    </row>
    <row r="3681" spans="1:12" x14ac:dyDescent="0.3">
      <c r="A3681" s="3"/>
      <c r="C3681" s="1"/>
      <c r="E3681" s="1"/>
      <c r="J3681" s="3"/>
      <c r="L3681" s="1"/>
    </row>
    <row r="3682" spans="1:12" x14ac:dyDescent="0.3">
      <c r="A3682" s="3"/>
      <c r="C3682" s="1"/>
      <c r="E3682" s="1"/>
      <c r="J3682" s="3"/>
      <c r="L3682" s="1"/>
    </row>
    <row r="3683" spans="1:12" x14ac:dyDescent="0.3">
      <c r="A3683" s="3"/>
      <c r="C3683" s="1"/>
      <c r="E3683" s="1"/>
      <c r="J3683" s="3"/>
      <c r="L3683" s="1"/>
    </row>
    <row r="3684" spans="1:12" x14ac:dyDescent="0.3">
      <c r="A3684" s="3"/>
      <c r="C3684" s="1"/>
      <c r="E3684" s="1"/>
      <c r="J3684" s="3"/>
      <c r="L3684" s="1"/>
    </row>
    <row r="3685" spans="1:12" x14ac:dyDescent="0.3">
      <c r="A3685" s="3"/>
      <c r="C3685" s="1"/>
      <c r="E3685" s="1"/>
      <c r="J3685" s="3"/>
      <c r="L3685" s="1"/>
    </row>
    <row r="3686" spans="1:12" x14ac:dyDescent="0.3">
      <c r="A3686" s="3"/>
      <c r="C3686" s="1"/>
      <c r="E3686" s="1"/>
      <c r="J3686" s="3"/>
      <c r="L3686" s="1"/>
    </row>
    <row r="3687" spans="1:12" x14ac:dyDescent="0.3">
      <c r="A3687" s="3"/>
      <c r="C3687" s="1"/>
      <c r="E3687" s="1"/>
      <c r="J3687" s="3"/>
      <c r="L3687" s="1"/>
    </row>
    <row r="3688" spans="1:12" x14ac:dyDescent="0.3">
      <c r="A3688" s="3"/>
      <c r="C3688" s="1"/>
      <c r="E3688" s="1"/>
      <c r="J3688" s="3"/>
      <c r="L3688" s="1"/>
    </row>
    <row r="3689" spans="1:12" x14ac:dyDescent="0.3">
      <c r="A3689" s="3"/>
      <c r="C3689" s="1"/>
      <c r="E3689" s="1"/>
      <c r="J3689" s="3"/>
      <c r="L3689" s="1"/>
    </row>
    <row r="3690" spans="1:12" x14ac:dyDescent="0.3">
      <c r="A3690" s="3"/>
      <c r="C3690" s="1"/>
      <c r="E3690" s="1"/>
      <c r="J3690" s="3"/>
      <c r="L3690" s="1"/>
    </row>
    <row r="3691" spans="1:12" x14ac:dyDescent="0.3">
      <c r="A3691" s="3"/>
      <c r="C3691" s="1"/>
      <c r="E3691" s="1"/>
      <c r="J3691" s="3"/>
      <c r="L3691" s="1"/>
    </row>
    <row r="3692" spans="1:12" x14ac:dyDescent="0.3">
      <c r="A3692" s="3"/>
      <c r="C3692" s="1"/>
      <c r="E3692" s="1"/>
      <c r="J3692" s="3"/>
      <c r="L3692" s="1"/>
    </row>
    <row r="3693" spans="1:12" x14ac:dyDescent="0.3">
      <c r="A3693" s="3"/>
      <c r="C3693" s="1"/>
      <c r="E3693" s="1"/>
      <c r="J3693" s="3"/>
      <c r="L3693" s="1"/>
    </row>
    <row r="3694" spans="1:12" x14ac:dyDescent="0.3">
      <c r="A3694" s="3"/>
      <c r="C3694" s="1"/>
      <c r="E3694" s="1"/>
      <c r="J3694" s="3"/>
      <c r="L3694" s="1"/>
    </row>
    <row r="3695" spans="1:12" x14ac:dyDescent="0.3">
      <c r="A3695" s="3"/>
      <c r="C3695" s="1"/>
      <c r="E3695" s="1"/>
      <c r="J3695" s="3"/>
      <c r="L3695" s="1"/>
    </row>
    <row r="3696" spans="1:12" x14ac:dyDescent="0.3">
      <c r="A3696" s="3"/>
      <c r="C3696" s="1"/>
      <c r="E3696" s="1"/>
      <c r="J3696" s="3"/>
      <c r="L3696" s="1"/>
    </row>
    <row r="3697" spans="1:12" x14ac:dyDescent="0.3">
      <c r="A3697" s="3"/>
      <c r="C3697" s="1"/>
      <c r="E3697" s="1"/>
      <c r="J3697" s="3"/>
      <c r="L3697" s="1"/>
    </row>
    <row r="3698" spans="1:12" x14ac:dyDescent="0.3">
      <c r="A3698" s="3"/>
      <c r="C3698" s="1"/>
      <c r="E3698" s="1"/>
      <c r="J3698" s="3"/>
      <c r="L3698" s="1"/>
    </row>
    <row r="3699" spans="1:12" x14ac:dyDescent="0.3">
      <c r="A3699" s="3"/>
      <c r="C3699" s="1"/>
      <c r="E3699" s="1"/>
      <c r="J3699" s="3"/>
      <c r="L3699" s="1"/>
    </row>
    <row r="3700" spans="1:12" x14ac:dyDescent="0.3">
      <c r="A3700" s="3"/>
      <c r="C3700" s="1"/>
      <c r="E3700" s="1"/>
      <c r="J3700" s="3"/>
      <c r="L3700" s="1"/>
    </row>
    <row r="3701" spans="1:12" x14ac:dyDescent="0.3">
      <c r="A3701" s="3"/>
      <c r="C3701" s="1"/>
      <c r="E3701" s="1"/>
      <c r="J3701" s="3"/>
      <c r="L3701" s="1"/>
    </row>
    <row r="3702" spans="1:12" x14ac:dyDescent="0.3">
      <c r="A3702" s="3"/>
      <c r="C3702" s="1"/>
      <c r="E3702" s="1"/>
      <c r="J3702" s="3"/>
      <c r="L3702" s="1"/>
    </row>
    <row r="3703" spans="1:12" x14ac:dyDescent="0.3">
      <c r="A3703" s="3"/>
      <c r="C3703" s="1"/>
      <c r="E3703" s="1"/>
      <c r="J3703" s="3"/>
      <c r="L3703" s="1"/>
    </row>
    <row r="3704" spans="1:12" x14ac:dyDescent="0.3">
      <c r="A3704" s="3"/>
      <c r="C3704" s="1"/>
      <c r="E3704" s="1"/>
      <c r="J3704" s="3"/>
      <c r="L3704" s="1"/>
    </row>
    <row r="3705" spans="1:12" x14ac:dyDescent="0.3">
      <c r="A3705" s="3"/>
      <c r="C3705" s="1"/>
      <c r="E3705" s="1"/>
      <c r="J3705" s="3"/>
      <c r="L3705" s="1"/>
    </row>
    <row r="3706" spans="1:12" x14ac:dyDescent="0.3">
      <c r="A3706" s="3"/>
      <c r="C3706" s="1"/>
      <c r="E3706" s="1"/>
      <c r="J3706" s="3"/>
      <c r="L3706" s="1"/>
    </row>
    <row r="3707" spans="1:12" x14ac:dyDescent="0.3">
      <c r="A3707" s="3"/>
      <c r="C3707" s="1"/>
      <c r="E3707" s="1"/>
      <c r="J3707" s="3"/>
      <c r="L3707" s="1"/>
    </row>
    <row r="3708" spans="1:12" x14ac:dyDescent="0.3">
      <c r="A3708" s="3"/>
      <c r="C3708" s="1"/>
      <c r="E3708" s="1"/>
      <c r="J3708" s="3"/>
      <c r="L3708" s="1"/>
    </row>
    <row r="3709" spans="1:12" x14ac:dyDescent="0.3">
      <c r="A3709" s="3"/>
      <c r="C3709" s="1"/>
      <c r="E3709" s="1"/>
      <c r="J3709" s="3"/>
      <c r="L3709" s="1"/>
    </row>
    <row r="3710" spans="1:12" x14ac:dyDescent="0.3">
      <c r="A3710" s="3"/>
      <c r="C3710" s="1"/>
      <c r="E3710" s="1"/>
      <c r="J3710" s="3"/>
      <c r="L3710" s="1"/>
    </row>
    <row r="3711" spans="1:12" x14ac:dyDescent="0.3">
      <c r="A3711" s="3"/>
      <c r="C3711" s="1"/>
      <c r="E3711" s="1"/>
      <c r="J3711" s="3"/>
      <c r="L3711" s="1"/>
    </row>
    <row r="3712" spans="1:12" x14ac:dyDescent="0.3">
      <c r="A3712" s="3"/>
      <c r="C3712" s="1"/>
      <c r="E3712" s="1"/>
      <c r="J3712" s="3"/>
      <c r="L3712" s="1"/>
    </row>
    <row r="3713" spans="1:12" x14ac:dyDescent="0.3">
      <c r="A3713" s="3"/>
      <c r="C3713" s="1"/>
      <c r="E3713" s="1"/>
      <c r="J3713" s="3"/>
      <c r="L3713" s="1"/>
    </row>
    <row r="3714" spans="1:12" x14ac:dyDescent="0.3">
      <c r="A3714" s="3"/>
      <c r="C3714" s="1"/>
      <c r="E3714" s="1"/>
      <c r="J3714" s="3"/>
      <c r="L3714" s="1"/>
    </row>
    <row r="3715" spans="1:12" x14ac:dyDescent="0.3">
      <c r="A3715" s="3"/>
      <c r="C3715" s="1"/>
      <c r="E3715" s="1"/>
      <c r="J3715" s="3"/>
      <c r="L3715" s="1"/>
    </row>
    <row r="3716" spans="1:12" x14ac:dyDescent="0.3">
      <c r="A3716" s="3"/>
      <c r="C3716" s="1"/>
      <c r="E3716" s="1"/>
      <c r="J3716" s="3"/>
      <c r="L3716" s="1"/>
    </row>
    <row r="3717" spans="1:12" x14ac:dyDescent="0.3">
      <c r="A3717" s="3"/>
      <c r="C3717" s="1"/>
      <c r="E3717" s="1"/>
      <c r="J3717" s="3"/>
      <c r="L3717" s="1"/>
    </row>
    <row r="3718" spans="1:12" x14ac:dyDescent="0.3">
      <c r="A3718" s="3"/>
      <c r="C3718" s="1"/>
      <c r="E3718" s="1"/>
      <c r="J3718" s="3"/>
      <c r="L3718" s="1"/>
    </row>
    <row r="3719" spans="1:12" x14ac:dyDescent="0.3">
      <c r="A3719" s="3"/>
      <c r="C3719" s="1"/>
      <c r="E3719" s="1"/>
      <c r="J3719" s="3"/>
      <c r="L3719" s="1"/>
    </row>
    <row r="3720" spans="1:12" x14ac:dyDescent="0.3">
      <c r="A3720" s="3"/>
      <c r="C3720" s="1"/>
      <c r="E3720" s="1"/>
      <c r="J3720" s="3"/>
      <c r="L3720" s="1"/>
    </row>
    <row r="3721" spans="1:12" x14ac:dyDescent="0.3">
      <c r="A3721" s="3"/>
      <c r="C3721" s="1"/>
      <c r="E3721" s="1"/>
      <c r="J3721" s="3"/>
      <c r="L3721" s="1"/>
    </row>
    <row r="3722" spans="1:12" x14ac:dyDescent="0.3">
      <c r="A3722" s="3"/>
      <c r="C3722" s="1"/>
      <c r="E3722" s="1"/>
      <c r="J3722" s="3"/>
      <c r="L3722" s="1"/>
    </row>
    <row r="3723" spans="1:12" x14ac:dyDescent="0.3">
      <c r="A3723" s="3"/>
      <c r="C3723" s="1"/>
      <c r="E3723" s="1"/>
      <c r="J3723" s="3"/>
      <c r="L3723" s="1"/>
    </row>
    <row r="3724" spans="1:12" x14ac:dyDescent="0.3">
      <c r="A3724" s="3"/>
      <c r="C3724" s="1"/>
      <c r="E3724" s="1"/>
      <c r="J3724" s="3"/>
      <c r="L3724" s="1"/>
    </row>
    <row r="3725" spans="1:12" x14ac:dyDescent="0.3">
      <c r="A3725" s="3"/>
      <c r="C3725" s="1"/>
      <c r="E3725" s="1"/>
      <c r="J3725" s="3"/>
      <c r="L3725" s="1"/>
    </row>
    <row r="3726" spans="1:12" x14ac:dyDescent="0.3">
      <c r="A3726" s="3"/>
      <c r="C3726" s="1"/>
      <c r="E3726" s="1"/>
      <c r="J3726" s="3"/>
      <c r="L3726" s="1"/>
    </row>
    <row r="3727" spans="1:12" x14ac:dyDescent="0.3">
      <c r="A3727" s="3"/>
      <c r="C3727" s="1"/>
      <c r="E3727" s="1"/>
      <c r="J3727" s="3"/>
      <c r="L3727" s="1"/>
    </row>
    <row r="3728" spans="1:12" x14ac:dyDescent="0.3">
      <c r="A3728" s="3"/>
      <c r="C3728" s="1"/>
      <c r="E3728" s="1"/>
      <c r="J3728" s="3"/>
      <c r="L3728" s="1"/>
    </row>
    <row r="3729" spans="1:12" x14ac:dyDescent="0.3">
      <c r="A3729" s="3"/>
      <c r="C3729" s="1"/>
      <c r="E3729" s="1"/>
      <c r="J3729" s="3"/>
      <c r="L3729" s="1"/>
    </row>
    <row r="3730" spans="1:12" x14ac:dyDescent="0.3">
      <c r="A3730" s="3"/>
      <c r="C3730" s="1"/>
      <c r="E3730" s="1"/>
      <c r="J3730" s="3"/>
      <c r="L3730" s="1"/>
    </row>
    <row r="3731" spans="1:12" x14ac:dyDescent="0.3">
      <c r="A3731" s="3"/>
      <c r="C3731" s="1"/>
      <c r="E3731" s="1"/>
      <c r="J3731" s="3"/>
      <c r="L3731" s="1"/>
    </row>
    <row r="3732" spans="1:12" x14ac:dyDescent="0.3">
      <c r="A3732" s="3"/>
      <c r="C3732" s="1"/>
      <c r="E3732" s="1"/>
      <c r="J3732" s="3"/>
      <c r="L3732" s="1"/>
    </row>
    <row r="3733" spans="1:12" x14ac:dyDescent="0.3">
      <c r="A3733" s="3"/>
      <c r="C3733" s="1"/>
      <c r="E3733" s="1"/>
      <c r="J3733" s="3"/>
      <c r="L3733" s="1"/>
    </row>
    <row r="3734" spans="1:12" x14ac:dyDescent="0.3">
      <c r="A3734" s="3"/>
      <c r="C3734" s="1"/>
      <c r="E3734" s="1"/>
      <c r="J3734" s="3"/>
      <c r="L3734" s="1"/>
    </row>
    <row r="3735" spans="1:12" x14ac:dyDescent="0.3">
      <c r="A3735" s="3"/>
      <c r="C3735" s="1"/>
      <c r="E3735" s="1"/>
      <c r="J3735" s="3"/>
      <c r="L3735" s="1"/>
    </row>
    <row r="3736" spans="1:12" x14ac:dyDescent="0.3">
      <c r="A3736" s="3"/>
      <c r="C3736" s="1"/>
      <c r="E3736" s="1"/>
      <c r="J3736" s="3"/>
      <c r="L3736" s="1"/>
    </row>
    <row r="3737" spans="1:12" x14ac:dyDescent="0.3">
      <c r="A3737" s="3"/>
      <c r="C3737" s="1"/>
      <c r="E3737" s="1"/>
      <c r="J3737" s="3"/>
      <c r="L3737" s="1"/>
    </row>
    <row r="3738" spans="1:12" x14ac:dyDescent="0.3">
      <c r="A3738" s="3"/>
      <c r="C3738" s="1"/>
      <c r="E3738" s="1"/>
      <c r="J3738" s="3"/>
      <c r="L3738" s="1"/>
    </row>
    <row r="3739" spans="1:12" x14ac:dyDescent="0.3">
      <c r="A3739" s="3"/>
      <c r="C3739" s="1"/>
      <c r="E3739" s="1"/>
      <c r="J3739" s="3"/>
      <c r="L3739" s="1"/>
    </row>
    <row r="3740" spans="1:12" x14ac:dyDescent="0.3">
      <c r="A3740" s="3"/>
      <c r="C3740" s="1"/>
      <c r="E3740" s="1"/>
      <c r="J3740" s="3"/>
      <c r="L3740" s="1"/>
    </row>
    <row r="3741" spans="1:12" x14ac:dyDescent="0.3">
      <c r="A3741" s="3"/>
      <c r="C3741" s="1"/>
      <c r="E3741" s="1"/>
      <c r="J3741" s="3"/>
      <c r="L3741" s="1"/>
    </row>
    <row r="3742" spans="1:12" x14ac:dyDescent="0.3">
      <c r="A3742" s="3"/>
      <c r="C3742" s="1"/>
      <c r="E3742" s="1"/>
      <c r="J3742" s="3"/>
      <c r="L3742" s="1"/>
    </row>
    <row r="3743" spans="1:12" x14ac:dyDescent="0.3">
      <c r="A3743" s="3"/>
      <c r="C3743" s="1"/>
      <c r="E3743" s="1"/>
      <c r="J3743" s="3"/>
      <c r="L3743" s="1"/>
    </row>
    <row r="3744" spans="1:12" x14ac:dyDescent="0.3">
      <c r="A3744" s="3"/>
      <c r="C3744" s="1"/>
      <c r="E3744" s="1"/>
      <c r="J3744" s="3"/>
      <c r="L3744" s="1"/>
    </row>
    <row r="3745" spans="1:12" x14ac:dyDescent="0.3">
      <c r="A3745" s="3"/>
      <c r="C3745" s="1"/>
      <c r="E3745" s="1"/>
      <c r="J3745" s="3"/>
      <c r="L3745" s="1"/>
    </row>
    <row r="3746" spans="1:12" x14ac:dyDescent="0.3">
      <c r="A3746" s="3"/>
      <c r="C3746" s="1"/>
      <c r="E3746" s="1"/>
      <c r="J3746" s="3"/>
      <c r="L3746" s="1"/>
    </row>
    <row r="3747" spans="1:12" x14ac:dyDescent="0.3">
      <c r="A3747" s="3"/>
      <c r="C3747" s="1"/>
      <c r="E3747" s="1"/>
      <c r="J3747" s="3"/>
      <c r="L3747" s="1"/>
    </row>
    <row r="3748" spans="1:12" x14ac:dyDescent="0.3">
      <c r="A3748" s="3"/>
      <c r="C3748" s="1"/>
      <c r="E3748" s="1"/>
      <c r="J3748" s="3"/>
      <c r="L3748" s="1"/>
    </row>
    <row r="3749" spans="1:12" x14ac:dyDescent="0.3">
      <c r="A3749" s="3"/>
      <c r="C3749" s="1"/>
      <c r="E3749" s="1"/>
      <c r="J3749" s="3"/>
      <c r="L3749" s="1"/>
    </row>
    <row r="3750" spans="1:12" x14ac:dyDescent="0.3">
      <c r="A3750" s="3"/>
      <c r="C3750" s="1"/>
      <c r="E3750" s="1"/>
      <c r="J3750" s="3"/>
      <c r="L3750" s="1"/>
    </row>
    <row r="3751" spans="1:12" x14ac:dyDescent="0.3">
      <c r="A3751" s="3"/>
      <c r="C3751" s="1"/>
      <c r="E3751" s="1"/>
      <c r="J3751" s="3"/>
      <c r="L3751" s="1"/>
    </row>
    <row r="3752" spans="1:12" x14ac:dyDescent="0.3">
      <c r="A3752" s="3"/>
      <c r="C3752" s="1"/>
      <c r="E3752" s="1"/>
      <c r="J3752" s="3"/>
      <c r="L3752" s="1"/>
    </row>
    <row r="3753" spans="1:12" x14ac:dyDescent="0.3">
      <c r="A3753" s="3"/>
      <c r="C3753" s="1"/>
      <c r="E3753" s="1"/>
      <c r="J3753" s="3"/>
      <c r="L3753" s="1"/>
    </row>
    <row r="3754" spans="1:12" x14ac:dyDescent="0.3">
      <c r="A3754" s="3"/>
      <c r="C3754" s="1"/>
      <c r="E3754" s="1"/>
      <c r="J3754" s="3"/>
      <c r="L3754" s="1"/>
    </row>
    <row r="3755" spans="1:12" x14ac:dyDescent="0.3">
      <c r="A3755" s="3"/>
      <c r="C3755" s="1"/>
      <c r="E3755" s="1"/>
      <c r="J3755" s="3"/>
      <c r="L3755" s="1"/>
    </row>
    <row r="3756" spans="1:12" x14ac:dyDescent="0.3">
      <c r="A3756" s="3"/>
      <c r="C3756" s="1"/>
      <c r="E3756" s="1"/>
      <c r="J3756" s="3"/>
      <c r="L3756" s="1"/>
    </row>
    <row r="3757" spans="1:12" x14ac:dyDescent="0.3">
      <c r="A3757" s="3"/>
      <c r="C3757" s="1"/>
      <c r="E3757" s="1"/>
      <c r="J3757" s="3"/>
      <c r="L3757" s="1"/>
    </row>
    <row r="3758" spans="1:12" x14ac:dyDescent="0.3">
      <c r="A3758" s="3"/>
      <c r="C3758" s="1"/>
      <c r="E3758" s="1"/>
      <c r="J3758" s="3"/>
      <c r="L3758" s="1"/>
    </row>
    <row r="3759" spans="1:12" x14ac:dyDescent="0.3">
      <c r="A3759" s="3"/>
      <c r="C3759" s="1"/>
      <c r="E3759" s="1"/>
      <c r="J3759" s="3"/>
      <c r="L3759" s="1"/>
    </row>
    <row r="3760" spans="1:12" x14ac:dyDescent="0.3">
      <c r="A3760" s="3"/>
      <c r="C3760" s="1"/>
      <c r="E3760" s="1"/>
      <c r="J3760" s="3"/>
      <c r="L3760" s="1"/>
    </row>
    <row r="3761" spans="1:12" x14ac:dyDescent="0.3">
      <c r="A3761" s="3"/>
      <c r="C3761" s="1"/>
      <c r="E3761" s="1"/>
      <c r="J3761" s="3"/>
      <c r="L3761" s="1"/>
    </row>
    <row r="3762" spans="1:12" x14ac:dyDescent="0.3">
      <c r="A3762" s="3"/>
      <c r="C3762" s="1"/>
      <c r="E3762" s="1"/>
      <c r="J3762" s="3"/>
      <c r="L3762" s="1"/>
    </row>
    <row r="3763" spans="1:12" x14ac:dyDescent="0.3">
      <c r="A3763" s="3"/>
      <c r="C3763" s="1"/>
      <c r="E3763" s="1"/>
      <c r="J3763" s="3"/>
      <c r="L3763" s="1"/>
    </row>
    <row r="3764" spans="1:12" x14ac:dyDescent="0.3">
      <c r="A3764" s="3"/>
      <c r="C3764" s="1"/>
      <c r="E3764" s="1"/>
      <c r="J3764" s="3"/>
      <c r="L3764" s="1"/>
    </row>
    <row r="3765" spans="1:12" x14ac:dyDescent="0.3">
      <c r="A3765" s="3"/>
      <c r="C3765" s="1"/>
      <c r="E3765" s="1"/>
      <c r="J3765" s="3"/>
      <c r="L3765" s="1"/>
    </row>
    <row r="3766" spans="1:12" x14ac:dyDescent="0.3">
      <c r="A3766" s="3"/>
      <c r="C3766" s="1"/>
      <c r="E3766" s="1"/>
      <c r="J3766" s="3"/>
      <c r="L3766" s="1"/>
    </row>
    <row r="3767" spans="1:12" x14ac:dyDescent="0.3">
      <c r="A3767" s="3"/>
      <c r="C3767" s="1"/>
      <c r="E3767" s="1"/>
      <c r="J3767" s="3"/>
      <c r="L3767" s="1"/>
    </row>
    <row r="3768" spans="1:12" x14ac:dyDescent="0.3">
      <c r="A3768" s="3"/>
      <c r="C3768" s="1"/>
      <c r="E3768" s="1"/>
      <c r="J3768" s="3"/>
      <c r="L3768" s="1"/>
    </row>
    <row r="3769" spans="1:12" x14ac:dyDescent="0.3">
      <c r="A3769" s="3"/>
      <c r="C3769" s="1"/>
      <c r="E3769" s="1"/>
      <c r="J3769" s="3"/>
      <c r="L3769" s="1"/>
    </row>
    <row r="3770" spans="1:12" x14ac:dyDescent="0.3">
      <c r="A3770" s="3"/>
      <c r="C3770" s="1"/>
      <c r="E3770" s="1"/>
      <c r="J3770" s="3"/>
      <c r="L3770" s="1"/>
    </row>
    <row r="3771" spans="1:12" x14ac:dyDescent="0.3">
      <c r="A3771" s="3"/>
      <c r="C3771" s="1"/>
      <c r="E3771" s="1"/>
      <c r="J3771" s="3"/>
      <c r="L3771" s="1"/>
    </row>
    <row r="3772" spans="1:12" x14ac:dyDescent="0.3">
      <c r="A3772" s="3"/>
      <c r="C3772" s="1"/>
      <c r="E3772" s="1"/>
      <c r="J3772" s="3"/>
      <c r="L3772" s="1"/>
    </row>
    <row r="3773" spans="1:12" x14ac:dyDescent="0.3">
      <c r="A3773" s="3"/>
      <c r="C3773" s="1"/>
      <c r="E3773" s="1"/>
      <c r="J3773" s="3"/>
      <c r="L3773" s="1"/>
    </row>
    <row r="3774" spans="1:12" x14ac:dyDescent="0.3">
      <c r="A3774" s="3"/>
      <c r="C3774" s="1"/>
      <c r="E3774" s="1"/>
      <c r="J3774" s="3"/>
      <c r="L3774" s="1"/>
    </row>
    <row r="3775" spans="1:12" x14ac:dyDescent="0.3">
      <c r="A3775" s="3"/>
      <c r="C3775" s="1"/>
      <c r="E3775" s="1"/>
      <c r="J3775" s="3"/>
      <c r="L3775" s="1"/>
    </row>
    <row r="3776" spans="1:12" x14ac:dyDescent="0.3">
      <c r="A3776" s="3"/>
      <c r="C3776" s="1"/>
      <c r="E3776" s="1"/>
      <c r="J3776" s="3"/>
      <c r="L3776" s="1"/>
    </row>
    <row r="3777" spans="1:12" x14ac:dyDescent="0.3">
      <c r="A3777" s="3"/>
      <c r="C3777" s="1"/>
      <c r="E3777" s="1"/>
      <c r="J3777" s="3"/>
      <c r="L3777" s="1"/>
    </row>
    <row r="3778" spans="1:12" x14ac:dyDescent="0.3">
      <c r="A3778" s="3"/>
      <c r="C3778" s="1"/>
      <c r="E3778" s="1"/>
      <c r="J3778" s="3"/>
      <c r="L3778" s="1"/>
    </row>
    <row r="3779" spans="1:12" x14ac:dyDescent="0.3">
      <c r="A3779" s="3"/>
      <c r="C3779" s="1"/>
      <c r="E3779" s="1"/>
      <c r="J3779" s="3"/>
      <c r="L3779" s="1"/>
    </row>
    <row r="3780" spans="1:12" x14ac:dyDescent="0.3">
      <c r="A3780" s="3"/>
      <c r="C3780" s="1"/>
      <c r="E3780" s="1"/>
      <c r="J3780" s="3"/>
      <c r="L3780" s="1"/>
    </row>
    <row r="3781" spans="1:12" x14ac:dyDescent="0.3">
      <c r="A3781" s="3"/>
      <c r="C3781" s="1"/>
      <c r="E3781" s="1"/>
      <c r="J3781" s="3"/>
      <c r="L3781" s="1"/>
    </row>
    <row r="3782" spans="1:12" x14ac:dyDescent="0.3">
      <c r="A3782" s="3"/>
      <c r="C3782" s="1"/>
      <c r="E3782" s="1"/>
      <c r="J3782" s="3"/>
      <c r="L3782" s="1"/>
    </row>
    <row r="3783" spans="1:12" x14ac:dyDescent="0.3">
      <c r="A3783" s="3"/>
      <c r="C3783" s="1"/>
      <c r="E3783" s="1"/>
      <c r="J3783" s="3"/>
      <c r="L3783" s="1"/>
    </row>
    <row r="3784" spans="1:12" x14ac:dyDescent="0.3">
      <c r="A3784" s="3"/>
      <c r="C3784" s="1"/>
      <c r="E3784" s="1"/>
      <c r="J3784" s="3"/>
      <c r="L3784" s="1"/>
    </row>
    <row r="3785" spans="1:12" x14ac:dyDescent="0.3">
      <c r="A3785" s="3"/>
      <c r="C3785" s="1"/>
      <c r="E3785" s="1"/>
      <c r="J3785" s="3"/>
      <c r="L3785" s="1"/>
    </row>
    <row r="3786" spans="1:12" x14ac:dyDescent="0.3">
      <c r="A3786" s="3"/>
      <c r="C3786" s="1"/>
      <c r="E3786" s="1"/>
      <c r="J3786" s="3"/>
      <c r="L3786" s="1"/>
    </row>
    <row r="3787" spans="1:12" x14ac:dyDescent="0.3">
      <c r="A3787" s="3"/>
      <c r="C3787" s="1"/>
      <c r="E3787" s="1"/>
      <c r="J3787" s="3"/>
      <c r="L3787" s="1"/>
    </row>
    <row r="3788" spans="1:12" x14ac:dyDescent="0.3">
      <c r="A3788" s="3"/>
      <c r="C3788" s="1"/>
      <c r="E3788" s="1"/>
      <c r="J3788" s="3"/>
      <c r="L3788" s="1"/>
    </row>
    <row r="3789" spans="1:12" x14ac:dyDescent="0.3">
      <c r="A3789" s="3"/>
      <c r="C3789" s="1"/>
      <c r="E3789" s="1"/>
      <c r="J3789" s="3"/>
      <c r="L3789" s="1"/>
    </row>
    <row r="3790" spans="1:12" x14ac:dyDescent="0.3">
      <c r="A3790" s="3"/>
      <c r="C3790" s="1"/>
      <c r="E3790" s="1"/>
      <c r="J3790" s="3"/>
      <c r="L3790" s="1"/>
    </row>
    <row r="3791" spans="1:12" x14ac:dyDescent="0.3">
      <c r="A3791" s="3"/>
      <c r="C3791" s="1"/>
      <c r="E3791" s="1"/>
      <c r="J3791" s="3"/>
      <c r="L3791" s="1"/>
    </row>
    <row r="3792" spans="1:12" x14ac:dyDescent="0.3">
      <c r="A3792" s="3"/>
      <c r="C3792" s="1"/>
      <c r="E3792" s="1"/>
      <c r="J3792" s="3"/>
      <c r="L3792" s="1"/>
    </row>
    <row r="3793" spans="1:12" x14ac:dyDescent="0.3">
      <c r="A3793" s="3"/>
      <c r="C3793" s="1"/>
      <c r="E3793" s="1"/>
      <c r="J3793" s="3"/>
      <c r="L3793" s="1"/>
    </row>
    <row r="3794" spans="1:12" x14ac:dyDescent="0.3">
      <c r="A3794" s="3"/>
      <c r="C3794" s="1"/>
      <c r="E3794" s="1"/>
      <c r="J3794" s="3"/>
      <c r="L3794" s="1"/>
    </row>
    <row r="3795" spans="1:12" x14ac:dyDescent="0.3">
      <c r="A3795" s="3"/>
      <c r="C3795" s="1"/>
      <c r="E3795" s="1"/>
      <c r="J3795" s="3"/>
      <c r="L3795" s="1"/>
    </row>
    <row r="3796" spans="1:12" x14ac:dyDescent="0.3">
      <c r="A3796" s="3"/>
      <c r="C3796" s="1"/>
      <c r="E3796" s="1"/>
      <c r="J3796" s="3"/>
      <c r="L3796" s="1"/>
    </row>
    <row r="3797" spans="1:12" x14ac:dyDescent="0.3">
      <c r="A3797" s="3"/>
      <c r="C3797" s="1"/>
      <c r="E3797" s="1"/>
      <c r="J3797" s="3"/>
      <c r="L3797" s="1"/>
    </row>
    <row r="3798" spans="1:12" x14ac:dyDescent="0.3">
      <c r="A3798" s="3"/>
      <c r="C3798" s="1"/>
      <c r="E3798" s="1"/>
      <c r="J3798" s="3"/>
      <c r="L3798" s="1"/>
    </row>
    <row r="3799" spans="1:12" x14ac:dyDescent="0.3">
      <c r="A3799" s="3"/>
      <c r="C3799" s="1"/>
      <c r="E3799" s="1"/>
      <c r="J3799" s="3"/>
      <c r="L3799" s="1"/>
    </row>
    <row r="3800" spans="1:12" x14ac:dyDescent="0.3">
      <c r="A3800" s="3"/>
      <c r="C3800" s="1"/>
      <c r="E3800" s="1"/>
      <c r="J3800" s="3"/>
      <c r="L3800" s="1"/>
    </row>
    <row r="3801" spans="1:12" x14ac:dyDescent="0.3">
      <c r="A3801" s="3"/>
      <c r="C3801" s="1"/>
      <c r="E3801" s="1"/>
      <c r="J3801" s="3"/>
      <c r="L3801" s="1"/>
    </row>
    <row r="3802" spans="1:12" x14ac:dyDescent="0.3">
      <c r="A3802" s="3"/>
      <c r="C3802" s="1"/>
      <c r="E3802" s="1"/>
      <c r="J3802" s="3"/>
      <c r="L3802" s="1"/>
    </row>
    <row r="3803" spans="1:12" x14ac:dyDescent="0.3">
      <c r="A3803" s="3"/>
      <c r="C3803" s="1"/>
      <c r="E3803" s="1"/>
      <c r="J3803" s="3"/>
      <c r="L3803" s="1"/>
    </row>
    <row r="3804" spans="1:12" x14ac:dyDescent="0.3">
      <c r="A3804" s="3"/>
      <c r="C3804" s="1"/>
      <c r="E3804" s="1"/>
      <c r="J3804" s="3"/>
      <c r="L3804" s="1"/>
    </row>
    <row r="3805" spans="1:12" x14ac:dyDescent="0.3">
      <c r="A3805" s="3"/>
      <c r="C3805" s="1"/>
      <c r="E3805" s="1"/>
      <c r="J3805" s="3"/>
      <c r="L3805" s="1"/>
    </row>
    <row r="3806" spans="1:12" x14ac:dyDescent="0.3">
      <c r="A3806" s="3"/>
      <c r="C3806" s="1"/>
      <c r="E3806" s="1"/>
      <c r="J3806" s="3"/>
      <c r="L3806" s="1"/>
    </row>
    <row r="3807" spans="1:12" x14ac:dyDescent="0.3">
      <c r="A3807" s="3"/>
      <c r="C3807" s="1"/>
      <c r="E3807" s="1"/>
      <c r="J3807" s="3"/>
      <c r="L3807" s="1"/>
    </row>
    <row r="3808" spans="1:12" x14ac:dyDescent="0.3">
      <c r="A3808" s="3"/>
      <c r="C3808" s="1"/>
      <c r="E3808" s="1"/>
      <c r="J3808" s="3"/>
      <c r="L3808" s="1"/>
    </row>
    <row r="3809" spans="1:12" x14ac:dyDescent="0.3">
      <c r="A3809" s="3"/>
      <c r="C3809" s="1"/>
      <c r="E3809" s="1"/>
      <c r="J3809" s="3"/>
      <c r="L3809" s="1"/>
    </row>
    <row r="3810" spans="1:12" x14ac:dyDescent="0.3">
      <c r="A3810" s="3"/>
      <c r="C3810" s="1"/>
      <c r="E3810" s="1"/>
      <c r="J3810" s="3"/>
      <c r="L3810" s="1"/>
    </row>
    <row r="3811" spans="1:12" x14ac:dyDescent="0.3">
      <c r="A3811" s="3"/>
      <c r="C3811" s="1"/>
      <c r="E3811" s="1"/>
      <c r="J3811" s="3"/>
      <c r="L3811" s="1"/>
    </row>
    <row r="3812" spans="1:12" x14ac:dyDescent="0.3">
      <c r="A3812" s="3"/>
      <c r="C3812" s="1"/>
      <c r="E3812" s="1"/>
      <c r="J3812" s="3"/>
      <c r="L3812" s="1"/>
    </row>
    <row r="3813" spans="1:12" x14ac:dyDescent="0.3">
      <c r="A3813" s="3"/>
      <c r="C3813" s="1"/>
      <c r="E3813" s="1"/>
      <c r="J3813" s="3"/>
      <c r="L3813" s="1"/>
    </row>
    <row r="3814" spans="1:12" x14ac:dyDescent="0.3">
      <c r="A3814" s="3"/>
      <c r="C3814" s="1"/>
      <c r="E3814" s="1"/>
      <c r="J3814" s="3"/>
      <c r="L3814" s="1"/>
    </row>
    <row r="3815" spans="1:12" x14ac:dyDescent="0.3">
      <c r="A3815" s="3"/>
      <c r="C3815" s="1"/>
      <c r="E3815" s="1"/>
      <c r="J3815" s="3"/>
      <c r="L3815" s="1"/>
    </row>
    <row r="3816" spans="1:12" x14ac:dyDescent="0.3">
      <c r="A3816" s="3"/>
      <c r="C3816" s="1"/>
      <c r="E3816" s="1"/>
      <c r="J3816" s="3"/>
      <c r="L3816" s="1"/>
    </row>
    <row r="3817" spans="1:12" x14ac:dyDescent="0.3">
      <c r="A3817" s="3"/>
      <c r="C3817" s="1"/>
      <c r="E3817" s="1"/>
      <c r="J3817" s="3"/>
      <c r="L3817" s="1"/>
    </row>
    <row r="3818" spans="1:12" x14ac:dyDescent="0.3">
      <c r="A3818" s="3"/>
      <c r="C3818" s="1"/>
      <c r="E3818" s="1"/>
      <c r="J3818" s="3"/>
      <c r="L3818" s="1"/>
    </row>
    <row r="3819" spans="1:12" x14ac:dyDescent="0.3">
      <c r="A3819" s="3"/>
      <c r="C3819" s="1"/>
      <c r="E3819" s="1"/>
      <c r="J3819" s="3"/>
      <c r="L3819" s="1"/>
    </row>
    <row r="3820" spans="1:12" x14ac:dyDescent="0.3">
      <c r="A3820" s="3"/>
      <c r="C3820" s="1"/>
      <c r="E3820" s="1"/>
      <c r="J3820" s="3"/>
      <c r="L3820" s="1"/>
    </row>
    <row r="3821" spans="1:12" x14ac:dyDescent="0.3">
      <c r="A3821" s="3"/>
      <c r="C3821" s="1"/>
      <c r="E3821" s="1"/>
      <c r="J3821" s="3"/>
      <c r="L3821" s="1"/>
    </row>
    <row r="3822" spans="1:12" x14ac:dyDescent="0.3">
      <c r="A3822" s="3"/>
      <c r="C3822" s="1"/>
      <c r="E3822" s="1"/>
      <c r="J3822" s="3"/>
      <c r="L3822" s="1"/>
    </row>
    <row r="3823" spans="1:12" x14ac:dyDescent="0.3">
      <c r="A3823" s="3"/>
      <c r="C3823" s="1"/>
      <c r="E3823" s="1"/>
      <c r="J3823" s="3"/>
      <c r="L3823" s="1"/>
    </row>
    <row r="3824" spans="1:12" x14ac:dyDescent="0.3">
      <c r="A3824" s="3"/>
      <c r="C3824" s="1"/>
      <c r="E3824" s="1"/>
      <c r="J3824" s="3"/>
      <c r="L3824" s="1"/>
    </row>
    <row r="3825" spans="1:12" x14ac:dyDescent="0.3">
      <c r="A3825" s="3"/>
      <c r="C3825" s="1"/>
      <c r="E3825" s="1"/>
      <c r="J3825" s="3"/>
      <c r="L3825" s="1"/>
    </row>
    <row r="3826" spans="1:12" x14ac:dyDescent="0.3">
      <c r="A3826" s="3"/>
      <c r="C3826" s="1"/>
      <c r="E3826" s="1"/>
      <c r="J3826" s="3"/>
      <c r="L3826" s="1"/>
    </row>
    <row r="3827" spans="1:12" x14ac:dyDescent="0.3">
      <c r="A3827" s="3"/>
      <c r="C3827" s="1"/>
      <c r="E3827" s="1"/>
      <c r="J3827" s="3"/>
      <c r="L3827" s="1"/>
    </row>
    <row r="3828" spans="1:12" x14ac:dyDescent="0.3">
      <c r="A3828" s="3"/>
      <c r="C3828" s="1"/>
      <c r="E3828" s="1"/>
      <c r="J3828" s="3"/>
      <c r="L3828" s="1"/>
    </row>
    <row r="3829" spans="1:12" x14ac:dyDescent="0.3">
      <c r="A3829" s="3"/>
      <c r="C3829" s="1"/>
      <c r="E3829" s="1"/>
      <c r="J3829" s="3"/>
      <c r="L3829" s="1"/>
    </row>
    <row r="3830" spans="1:12" x14ac:dyDescent="0.3">
      <c r="A3830" s="3"/>
      <c r="C3830" s="1"/>
      <c r="E3830" s="1"/>
      <c r="J3830" s="3"/>
      <c r="L3830" s="1"/>
    </row>
    <row r="3831" spans="1:12" x14ac:dyDescent="0.3">
      <c r="A3831" s="3"/>
      <c r="C3831" s="1"/>
      <c r="E3831" s="1"/>
      <c r="J3831" s="3"/>
      <c r="L3831" s="1"/>
    </row>
    <row r="3832" spans="1:12" x14ac:dyDescent="0.3">
      <c r="A3832" s="3"/>
      <c r="C3832" s="1"/>
      <c r="E3832" s="1"/>
      <c r="J3832" s="3"/>
      <c r="L3832" s="1"/>
    </row>
    <row r="3833" spans="1:12" x14ac:dyDescent="0.3">
      <c r="A3833" s="3"/>
      <c r="C3833" s="1"/>
      <c r="E3833" s="1"/>
      <c r="J3833" s="3"/>
      <c r="L3833" s="1"/>
    </row>
    <row r="3834" spans="1:12" x14ac:dyDescent="0.3">
      <c r="A3834" s="3"/>
      <c r="C3834" s="1"/>
      <c r="E3834" s="1"/>
      <c r="J3834" s="3"/>
      <c r="L3834" s="1"/>
    </row>
    <row r="3835" spans="1:12" x14ac:dyDescent="0.3">
      <c r="A3835" s="3"/>
      <c r="C3835" s="1"/>
      <c r="E3835" s="1"/>
      <c r="J3835" s="3"/>
      <c r="L3835" s="1"/>
    </row>
    <row r="3836" spans="1:12" x14ac:dyDescent="0.3">
      <c r="A3836" s="3"/>
      <c r="C3836" s="1"/>
      <c r="E3836" s="1"/>
      <c r="J3836" s="3"/>
      <c r="L3836" s="1"/>
    </row>
    <row r="3837" spans="1:12" x14ac:dyDescent="0.3">
      <c r="A3837" s="3"/>
      <c r="C3837" s="1"/>
      <c r="E3837" s="1"/>
      <c r="J3837" s="3"/>
      <c r="L3837" s="1"/>
    </row>
    <row r="3838" spans="1:12" x14ac:dyDescent="0.3">
      <c r="A3838" s="3"/>
      <c r="C3838" s="1"/>
      <c r="E3838" s="1"/>
      <c r="J3838" s="3"/>
      <c r="L3838" s="1"/>
    </row>
    <row r="3839" spans="1:12" x14ac:dyDescent="0.3">
      <c r="A3839" s="3"/>
      <c r="C3839" s="1"/>
      <c r="E3839" s="1"/>
      <c r="J3839" s="3"/>
      <c r="L3839" s="1"/>
    </row>
    <row r="3840" spans="1:12" x14ac:dyDescent="0.3">
      <c r="A3840" s="3"/>
      <c r="C3840" s="1"/>
      <c r="E3840" s="1"/>
      <c r="J3840" s="3"/>
      <c r="L3840" s="1"/>
    </row>
    <row r="3841" spans="1:12" x14ac:dyDescent="0.3">
      <c r="A3841" s="3"/>
      <c r="C3841" s="1"/>
      <c r="E3841" s="1"/>
      <c r="J3841" s="3"/>
      <c r="L3841" s="1"/>
    </row>
    <row r="3842" spans="1:12" x14ac:dyDescent="0.3">
      <c r="A3842" s="3"/>
      <c r="C3842" s="1"/>
      <c r="E3842" s="1"/>
      <c r="J3842" s="3"/>
      <c r="L3842" s="1"/>
    </row>
    <row r="3843" spans="1:12" x14ac:dyDescent="0.3">
      <c r="A3843" s="3"/>
      <c r="C3843" s="1"/>
      <c r="E3843" s="1"/>
      <c r="J3843" s="3"/>
      <c r="L3843" s="1"/>
    </row>
    <row r="3844" spans="1:12" x14ac:dyDescent="0.3">
      <c r="A3844" s="3"/>
      <c r="C3844" s="1"/>
      <c r="E3844" s="1"/>
      <c r="J3844" s="3"/>
      <c r="L3844" s="1"/>
    </row>
    <row r="3845" spans="1:12" x14ac:dyDescent="0.3">
      <c r="A3845" s="3"/>
      <c r="C3845" s="1"/>
      <c r="E3845" s="1"/>
      <c r="J3845" s="3"/>
      <c r="L3845" s="1"/>
    </row>
    <row r="3846" spans="1:12" x14ac:dyDescent="0.3">
      <c r="A3846" s="3"/>
      <c r="C3846" s="1"/>
      <c r="E3846" s="1"/>
      <c r="J3846" s="3"/>
      <c r="L3846" s="1"/>
    </row>
    <row r="3847" spans="1:12" x14ac:dyDescent="0.3">
      <c r="A3847" s="3"/>
      <c r="C3847" s="1"/>
      <c r="E3847" s="1"/>
      <c r="J3847" s="3"/>
      <c r="L3847" s="1"/>
    </row>
    <row r="3848" spans="1:12" x14ac:dyDescent="0.3">
      <c r="A3848" s="3"/>
      <c r="C3848" s="1"/>
      <c r="E3848" s="1"/>
      <c r="J3848" s="3"/>
      <c r="L3848" s="1"/>
    </row>
    <row r="3849" spans="1:12" x14ac:dyDescent="0.3">
      <c r="A3849" s="3"/>
      <c r="C3849" s="1"/>
      <c r="E3849" s="1"/>
      <c r="J3849" s="3"/>
      <c r="L3849" s="1"/>
    </row>
    <row r="3850" spans="1:12" x14ac:dyDescent="0.3">
      <c r="A3850" s="3"/>
      <c r="C3850" s="1"/>
      <c r="E3850" s="1"/>
      <c r="J3850" s="3"/>
      <c r="L3850" s="1"/>
    </row>
    <row r="3851" spans="1:12" x14ac:dyDescent="0.3">
      <c r="A3851" s="3"/>
      <c r="C3851" s="1"/>
      <c r="E3851" s="1"/>
      <c r="J3851" s="3"/>
      <c r="L3851" s="1"/>
    </row>
    <row r="3852" spans="1:12" x14ac:dyDescent="0.3">
      <c r="A3852" s="3"/>
      <c r="C3852" s="1"/>
      <c r="E3852" s="1"/>
      <c r="J3852" s="3"/>
      <c r="L3852" s="1"/>
    </row>
    <row r="3853" spans="1:12" x14ac:dyDescent="0.3">
      <c r="A3853" s="3"/>
      <c r="C3853" s="1"/>
      <c r="E3853" s="1"/>
      <c r="J3853" s="3"/>
      <c r="L3853" s="1"/>
    </row>
    <row r="3854" spans="1:12" x14ac:dyDescent="0.3">
      <c r="A3854" s="3"/>
      <c r="C3854" s="1"/>
      <c r="E3854" s="1"/>
      <c r="J3854" s="3"/>
      <c r="L3854" s="1"/>
    </row>
    <row r="3855" spans="1:12" x14ac:dyDescent="0.3">
      <c r="A3855" s="3"/>
      <c r="C3855" s="1"/>
      <c r="E3855" s="1"/>
      <c r="J3855" s="3"/>
      <c r="L3855" s="1"/>
    </row>
    <row r="3856" spans="1:12" x14ac:dyDescent="0.3">
      <c r="A3856" s="3"/>
      <c r="C3856" s="1"/>
      <c r="E3856" s="1"/>
      <c r="J3856" s="3"/>
      <c r="L3856" s="1"/>
    </row>
    <row r="3857" spans="1:12" x14ac:dyDescent="0.3">
      <c r="A3857" s="3"/>
      <c r="C3857" s="1"/>
      <c r="E3857" s="1"/>
      <c r="J3857" s="3"/>
      <c r="L3857" s="1"/>
    </row>
    <row r="3858" spans="1:12" x14ac:dyDescent="0.3">
      <c r="A3858" s="3"/>
      <c r="C3858" s="1"/>
      <c r="E3858" s="1"/>
      <c r="J3858" s="3"/>
      <c r="L3858" s="1"/>
    </row>
    <row r="3859" spans="1:12" x14ac:dyDescent="0.3">
      <c r="A3859" s="3"/>
      <c r="C3859" s="1"/>
      <c r="E3859" s="1"/>
      <c r="J3859" s="3"/>
      <c r="L3859" s="1"/>
    </row>
    <row r="3860" spans="1:12" x14ac:dyDescent="0.3">
      <c r="A3860" s="3"/>
      <c r="C3860" s="1"/>
      <c r="E3860" s="1"/>
      <c r="J3860" s="3"/>
      <c r="L3860" s="1"/>
    </row>
    <row r="3861" spans="1:12" x14ac:dyDescent="0.3">
      <c r="A3861" s="3"/>
      <c r="C3861" s="1"/>
      <c r="E3861" s="1"/>
      <c r="J3861" s="3"/>
      <c r="L3861" s="1"/>
    </row>
    <row r="3862" spans="1:12" x14ac:dyDescent="0.3">
      <c r="A3862" s="3"/>
      <c r="C3862" s="1"/>
      <c r="E3862" s="1"/>
      <c r="J3862" s="3"/>
      <c r="L3862" s="1"/>
    </row>
    <row r="3863" spans="1:12" x14ac:dyDescent="0.3">
      <c r="A3863" s="3"/>
      <c r="C3863" s="1"/>
      <c r="E3863" s="1"/>
      <c r="J3863" s="3"/>
      <c r="L3863" s="1"/>
    </row>
    <row r="3864" spans="1:12" x14ac:dyDescent="0.3">
      <c r="A3864" s="3"/>
      <c r="C3864" s="1"/>
      <c r="E3864" s="1"/>
      <c r="J3864" s="3"/>
      <c r="L3864" s="1"/>
    </row>
    <row r="3865" spans="1:12" x14ac:dyDescent="0.3">
      <c r="A3865" s="3"/>
      <c r="C3865" s="1"/>
      <c r="E3865" s="1"/>
      <c r="J3865" s="3"/>
      <c r="L3865" s="1"/>
    </row>
    <row r="3866" spans="1:12" x14ac:dyDescent="0.3">
      <c r="A3866" s="3"/>
      <c r="C3866" s="1"/>
      <c r="E3866" s="1"/>
      <c r="J3866" s="3"/>
      <c r="L3866" s="1"/>
    </row>
    <row r="3867" spans="1:12" x14ac:dyDescent="0.3">
      <c r="A3867" s="3"/>
      <c r="C3867" s="1"/>
      <c r="E3867" s="1"/>
      <c r="J3867" s="3"/>
      <c r="L3867" s="1"/>
    </row>
    <row r="3868" spans="1:12" x14ac:dyDescent="0.3">
      <c r="A3868" s="3"/>
      <c r="C3868" s="1"/>
      <c r="E3868" s="1"/>
      <c r="J3868" s="3"/>
      <c r="L3868" s="1"/>
    </row>
    <row r="3869" spans="1:12" x14ac:dyDescent="0.3">
      <c r="A3869" s="3"/>
      <c r="C3869" s="1"/>
      <c r="E3869" s="1"/>
      <c r="J3869" s="3"/>
      <c r="L3869" s="1"/>
    </row>
    <row r="3870" spans="1:12" x14ac:dyDescent="0.3">
      <c r="A3870" s="3"/>
      <c r="C3870" s="1"/>
      <c r="E3870" s="1"/>
      <c r="J3870" s="3"/>
      <c r="L3870" s="1"/>
    </row>
    <row r="3871" spans="1:12" x14ac:dyDescent="0.3">
      <c r="A3871" s="3"/>
      <c r="C3871" s="1"/>
      <c r="E3871" s="1"/>
      <c r="J3871" s="3"/>
      <c r="L3871" s="1"/>
    </row>
    <row r="3872" spans="1:12" x14ac:dyDescent="0.3">
      <c r="A3872" s="3"/>
      <c r="C3872" s="1"/>
      <c r="E3872" s="1"/>
      <c r="J3872" s="3"/>
      <c r="L3872" s="1"/>
    </row>
    <row r="3873" spans="1:12" x14ac:dyDescent="0.3">
      <c r="A3873" s="3"/>
      <c r="C3873" s="1"/>
      <c r="E3873" s="1"/>
      <c r="J3873" s="3"/>
      <c r="L3873" s="1"/>
    </row>
    <row r="3874" spans="1:12" x14ac:dyDescent="0.3">
      <c r="A3874" s="3"/>
      <c r="C3874" s="1"/>
      <c r="E3874" s="1"/>
      <c r="J3874" s="3"/>
      <c r="L3874" s="1"/>
    </row>
    <row r="3875" spans="1:12" x14ac:dyDescent="0.3">
      <c r="A3875" s="3"/>
      <c r="C3875" s="1"/>
      <c r="E3875" s="1"/>
      <c r="J3875" s="3"/>
      <c r="L3875" s="1"/>
    </row>
    <row r="3876" spans="1:12" x14ac:dyDescent="0.3">
      <c r="A3876" s="3"/>
      <c r="C3876" s="1"/>
      <c r="E3876" s="1"/>
      <c r="J3876" s="3"/>
      <c r="L3876" s="1"/>
    </row>
    <row r="3877" spans="1:12" x14ac:dyDescent="0.3">
      <c r="A3877" s="3"/>
      <c r="C3877" s="1"/>
      <c r="E3877" s="1"/>
      <c r="J3877" s="3"/>
      <c r="L3877" s="1"/>
    </row>
    <row r="3878" spans="1:12" x14ac:dyDescent="0.3">
      <c r="A3878" s="3"/>
      <c r="C3878" s="1"/>
      <c r="E3878" s="1"/>
      <c r="J3878" s="3"/>
      <c r="L3878" s="1"/>
    </row>
    <row r="3879" spans="1:12" x14ac:dyDescent="0.3">
      <c r="A3879" s="3"/>
      <c r="C3879" s="1"/>
      <c r="E3879" s="1"/>
      <c r="J3879" s="3"/>
      <c r="L3879" s="1"/>
    </row>
    <row r="3880" spans="1:12" x14ac:dyDescent="0.3">
      <c r="A3880" s="3"/>
      <c r="C3880" s="1"/>
      <c r="E3880" s="1"/>
      <c r="J3880" s="3"/>
      <c r="L3880" s="1"/>
    </row>
    <row r="3881" spans="1:12" x14ac:dyDescent="0.3">
      <c r="A3881" s="3"/>
      <c r="C3881" s="1"/>
      <c r="E3881" s="1"/>
      <c r="J3881" s="3"/>
      <c r="L3881" s="1"/>
    </row>
    <row r="3882" spans="1:12" x14ac:dyDescent="0.3">
      <c r="A3882" s="3"/>
      <c r="C3882" s="1"/>
      <c r="E3882" s="1"/>
      <c r="J3882" s="3"/>
      <c r="L3882" s="1"/>
    </row>
    <row r="3883" spans="1:12" x14ac:dyDescent="0.3">
      <c r="A3883" s="3"/>
      <c r="C3883" s="1"/>
      <c r="E3883" s="1"/>
      <c r="J3883" s="3"/>
      <c r="L3883" s="1"/>
    </row>
    <row r="3884" spans="1:12" x14ac:dyDescent="0.3">
      <c r="A3884" s="3"/>
      <c r="C3884" s="1"/>
      <c r="E3884" s="1"/>
      <c r="J3884" s="3"/>
      <c r="L3884" s="1"/>
    </row>
    <row r="3885" spans="1:12" x14ac:dyDescent="0.3">
      <c r="A3885" s="3"/>
      <c r="C3885" s="1"/>
      <c r="E3885" s="1"/>
      <c r="J3885" s="3"/>
      <c r="L3885" s="1"/>
    </row>
    <row r="3886" spans="1:12" x14ac:dyDescent="0.3">
      <c r="A3886" s="3"/>
      <c r="C3886" s="1"/>
      <c r="E3886" s="1"/>
      <c r="J3886" s="3"/>
      <c r="L3886" s="1"/>
    </row>
    <row r="3887" spans="1:12" x14ac:dyDescent="0.3">
      <c r="A3887" s="3"/>
      <c r="C3887" s="1"/>
      <c r="E3887" s="1"/>
      <c r="J3887" s="3"/>
      <c r="L3887" s="1"/>
    </row>
    <row r="3888" spans="1:12" x14ac:dyDescent="0.3">
      <c r="A3888" s="3"/>
      <c r="C3888" s="1"/>
      <c r="E3888" s="1"/>
      <c r="J3888" s="3"/>
      <c r="L3888" s="1"/>
    </row>
    <row r="3889" spans="1:12" x14ac:dyDescent="0.3">
      <c r="A3889" s="3"/>
      <c r="C3889" s="1"/>
      <c r="E3889" s="1"/>
      <c r="J3889" s="3"/>
      <c r="L3889" s="1"/>
    </row>
    <row r="3890" spans="1:12" x14ac:dyDescent="0.3">
      <c r="A3890" s="3"/>
      <c r="C3890" s="1"/>
      <c r="E3890" s="1"/>
      <c r="J3890" s="3"/>
      <c r="L3890" s="1"/>
    </row>
    <row r="3891" spans="1:12" x14ac:dyDescent="0.3">
      <c r="A3891" s="3"/>
      <c r="C3891" s="1"/>
      <c r="E3891" s="1"/>
      <c r="J3891" s="3"/>
      <c r="L3891" s="1"/>
    </row>
    <row r="3892" spans="1:12" x14ac:dyDescent="0.3">
      <c r="A3892" s="3"/>
      <c r="C3892" s="1"/>
      <c r="E3892" s="1"/>
      <c r="J3892" s="3"/>
      <c r="L3892" s="1"/>
    </row>
    <row r="3893" spans="1:12" x14ac:dyDescent="0.3">
      <c r="A3893" s="3"/>
      <c r="C3893" s="1"/>
      <c r="E3893" s="1"/>
      <c r="J3893" s="3"/>
      <c r="L3893" s="1"/>
    </row>
    <row r="3894" spans="1:12" x14ac:dyDescent="0.3">
      <c r="A3894" s="3"/>
      <c r="C3894" s="1"/>
      <c r="E3894" s="1"/>
      <c r="J3894" s="3"/>
      <c r="L3894" s="1"/>
    </row>
    <row r="3895" spans="1:12" x14ac:dyDescent="0.3">
      <c r="A3895" s="3"/>
      <c r="C3895" s="1"/>
      <c r="E3895" s="1"/>
      <c r="J3895" s="3"/>
      <c r="L3895" s="1"/>
    </row>
    <row r="3896" spans="1:12" x14ac:dyDescent="0.3">
      <c r="A3896" s="3"/>
      <c r="C3896" s="1"/>
      <c r="E3896" s="1"/>
      <c r="J3896" s="3"/>
      <c r="L3896" s="1"/>
    </row>
    <row r="3897" spans="1:12" x14ac:dyDescent="0.3">
      <c r="A3897" s="3"/>
      <c r="C3897" s="1"/>
      <c r="E3897" s="1"/>
      <c r="J3897" s="3"/>
      <c r="L3897" s="1"/>
    </row>
    <row r="3898" spans="1:12" x14ac:dyDescent="0.3">
      <c r="A3898" s="3"/>
      <c r="C3898" s="1"/>
      <c r="E3898" s="1"/>
      <c r="J3898" s="3"/>
      <c r="L3898" s="1"/>
    </row>
    <row r="3899" spans="1:12" x14ac:dyDescent="0.3">
      <c r="A3899" s="3"/>
      <c r="C3899" s="1"/>
      <c r="E3899" s="1"/>
      <c r="J3899" s="3"/>
      <c r="L3899" s="1"/>
    </row>
    <row r="3900" spans="1:12" x14ac:dyDescent="0.3">
      <c r="A3900" s="3"/>
      <c r="C3900" s="1"/>
      <c r="E3900" s="1"/>
      <c r="J3900" s="3"/>
      <c r="L3900" s="1"/>
    </row>
    <row r="3901" spans="1:12" x14ac:dyDescent="0.3">
      <c r="A3901" s="3"/>
      <c r="C3901" s="1"/>
      <c r="E3901" s="1"/>
      <c r="J3901" s="3"/>
      <c r="L3901" s="1"/>
    </row>
    <row r="3902" spans="1:12" x14ac:dyDescent="0.3">
      <c r="A3902" s="3"/>
      <c r="C3902" s="1"/>
      <c r="E3902" s="1"/>
      <c r="J3902" s="3"/>
      <c r="L3902" s="1"/>
    </row>
    <row r="3903" spans="1:12" x14ac:dyDescent="0.3">
      <c r="A3903" s="3"/>
      <c r="C3903" s="1"/>
      <c r="E3903" s="1"/>
      <c r="J3903" s="3"/>
      <c r="L3903" s="1"/>
    </row>
    <row r="3904" spans="1:12" x14ac:dyDescent="0.3">
      <c r="A3904" s="3"/>
      <c r="C3904" s="1"/>
      <c r="E3904" s="1"/>
      <c r="J3904" s="3"/>
      <c r="L3904" s="1"/>
    </row>
    <row r="3905" spans="1:12" x14ac:dyDescent="0.3">
      <c r="A3905" s="3"/>
      <c r="C3905" s="1"/>
      <c r="E3905" s="1"/>
      <c r="J3905" s="3"/>
      <c r="L3905" s="1"/>
    </row>
    <row r="3906" spans="1:12" x14ac:dyDescent="0.3">
      <c r="A3906" s="3"/>
      <c r="C3906" s="1"/>
      <c r="E3906" s="1"/>
      <c r="J3906" s="3"/>
      <c r="L3906" s="1"/>
    </row>
    <row r="3907" spans="1:12" x14ac:dyDescent="0.3">
      <c r="A3907" s="3"/>
      <c r="C3907" s="1"/>
      <c r="E3907" s="1"/>
      <c r="J3907" s="3"/>
      <c r="L3907" s="1"/>
    </row>
    <row r="3908" spans="1:12" x14ac:dyDescent="0.3">
      <c r="A3908" s="3"/>
      <c r="C3908" s="1"/>
      <c r="E3908" s="1"/>
      <c r="J3908" s="3"/>
      <c r="L3908" s="1"/>
    </row>
    <row r="3909" spans="1:12" x14ac:dyDescent="0.3">
      <c r="A3909" s="3"/>
      <c r="C3909" s="1"/>
      <c r="E3909" s="1"/>
      <c r="J3909" s="3"/>
      <c r="L3909" s="1"/>
    </row>
    <row r="3910" spans="1:12" x14ac:dyDescent="0.3">
      <c r="A3910" s="3"/>
      <c r="C3910" s="1"/>
      <c r="E3910" s="1"/>
      <c r="J3910" s="3"/>
      <c r="L3910" s="1"/>
    </row>
    <row r="3911" spans="1:12" x14ac:dyDescent="0.3">
      <c r="A3911" s="3"/>
      <c r="C3911" s="1"/>
      <c r="E3911" s="1"/>
      <c r="J3911" s="3"/>
      <c r="L3911" s="1"/>
    </row>
    <row r="3912" spans="1:12" x14ac:dyDescent="0.3">
      <c r="A3912" s="3"/>
      <c r="C3912" s="1"/>
      <c r="E3912" s="1"/>
      <c r="J3912" s="3"/>
      <c r="L3912" s="1"/>
    </row>
    <row r="3913" spans="1:12" x14ac:dyDescent="0.3">
      <c r="A3913" s="3"/>
      <c r="C3913" s="1"/>
      <c r="E3913" s="1"/>
      <c r="J3913" s="3"/>
      <c r="L3913" s="1"/>
    </row>
    <row r="3914" spans="1:12" x14ac:dyDescent="0.3">
      <c r="A3914" s="3"/>
      <c r="C3914" s="1"/>
      <c r="E3914" s="1"/>
      <c r="J3914" s="3"/>
      <c r="L3914" s="1"/>
    </row>
    <row r="3915" spans="1:12" x14ac:dyDescent="0.3">
      <c r="A3915" s="3"/>
      <c r="C3915" s="1"/>
      <c r="E3915" s="1"/>
      <c r="J3915" s="3"/>
      <c r="L3915" s="1"/>
    </row>
    <row r="3916" spans="1:12" x14ac:dyDescent="0.3">
      <c r="A3916" s="3"/>
      <c r="C3916" s="1"/>
      <c r="E3916" s="1"/>
      <c r="J3916" s="3"/>
      <c r="L3916" s="1"/>
    </row>
    <row r="3917" spans="1:12" x14ac:dyDescent="0.3">
      <c r="A3917" s="3"/>
      <c r="C3917" s="1"/>
      <c r="E3917" s="1"/>
      <c r="J3917" s="3"/>
      <c r="L3917" s="1"/>
    </row>
    <row r="3918" spans="1:12" x14ac:dyDescent="0.3">
      <c r="A3918" s="3"/>
      <c r="C3918" s="1"/>
      <c r="E3918" s="1"/>
      <c r="J3918" s="3"/>
      <c r="L3918" s="1"/>
    </row>
    <row r="3919" spans="1:12" x14ac:dyDescent="0.3">
      <c r="A3919" s="3"/>
      <c r="C3919" s="1"/>
      <c r="E3919" s="1"/>
      <c r="J3919" s="3"/>
      <c r="L3919" s="1"/>
    </row>
    <row r="3920" spans="1:12" x14ac:dyDescent="0.3">
      <c r="A3920" s="3"/>
      <c r="C3920" s="1"/>
      <c r="E3920" s="1"/>
      <c r="J3920" s="3"/>
      <c r="L3920" s="1"/>
    </row>
    <row r="3921" spans="1:12" x14ac:dyDescent="0.3">
      <c r="A3921" s="3"/>
      <c r="C3921" s="1"/>
      <c r="E3921" s="1"/>
      <c r="J3921" s="3"/>
      <c r="L3921" s="1"/>
    </row>
    <row r="3922" spans="1:12" x14ac:dyDescent="0.3">
      <c r="A3922" s="3"/>
      <c r="C3922" s="1"/>
      <c r="E3922" s="1"/>
      <c r="J3922" s="3"/>
      <c r="L3922" s="1"/>
    </row>
    <row r="3923" spans="1:12" x14ac:dyDescent="0.3">
      <c r="A3923" s="3"/>
      <c r="C3923" s="1"/>
      <c r="E3923" s="1"/>
      <c r="J3923" s="3"/>
      <c r="L3923" s="1"/>
    </row>
    <row r="3924" spans="1:12" x14ac:dyDescent="0.3">
      <c r="A3924" s="3"/>
      <c r="C3924" s="1"/>
      <c r="E3924" s="1"/>
      <c r="J3924" s="3"/>
      <c r="L3924" s="1"/>
    </row>
    <row r="3925" spans="1:12" x14ac:dyDescent="0.3">
      <c r="A3925" s="3"/>
      <c r="C3925" s="1"/>
      <c r="E3925" s="1"/>
      <c r="J3925" s="3"/>
      <c r="L3925" s="1"/>
    </row>
    <row r="3926" spans="1:12" x14ac:dyDescent="0.3">
      <c r="A3926" s="3"/>
      <c r="C3926" s="1"/>
      <c r="E3926" s="1"/>
      <c r="J3926" s="3"/>
      <c r="L3926" s="1"/>
    </row>
    <row r="3927" spans="1:12" x14ac:dyDescent="0.3">
      <c r="A3927" s="3"/>
      <c r="C3927" s="1"/>
      <c r="E3927" s="1"/>
      <c r="J3927" s="3"/>
      <c r="L3927" s="1"/>
    </row>
    <row r="3928" spans="1:12" x14ac:dyDescent="0.3">
      <c r="A3928" s="3"/>
      <c r="C3928" s="1"/>
      <c r="E3928" s="1"/>
      <c r="J3928" s="3"/>
      <c r="L3928" s="1"/>
    </row>
    <row r="3929" spans="1:12" x14ac:dyDescent="0.3">
      <c r="A3929" s="3"/>
      <c r="C3929" s="1"/>
      <c r="E3929" s="1"/>
      <c r="J3929" s="3"/>
      <c r="L3929" s="1"/>
    </row>
    <row r="3930" spans="1:12" x14ac:dyDescent="0.3">
      <c r="A3930" s="3"/>
      <c r="C3930" s="1"/>
      <c r="E3930" s="1"/>
      <c r="J3930" s="3"/>
      <c r="L3930" s="1"/>
    </row>
    <row r="3931" spans="1:12" x14ac:dyDescent="0.3">
      <c r="A3931" s="3"/>
      <c r="C3931" s="1"/>
      <c r="E3931" s="1"/>
      <c r="J3931" s="3"/>
      <c r="L3931" s="1"/>
    </row>
    <row r="3932" spans="1:12" x14ac:dyDescent="0.3">
      <c r="A3932" s="3"/>
      <c r="C3932" s="1"/>
      <c r="E3932" s="1"/>
      <c r="J3932" s="3"/>
      <c r="L3932" s="1"/>
    </row>
    <row r="3933" spans="1:12" x14ac:dyDescent="0.3">
      <c r="A3933" s="3"/>
      <c r="C3933" s="1"/>
      <c r="E3933" s="1"/>
      <c r="J3933" s="3"/>
      <c r="L3933" s="1"/>
    </row>
    <row r="3934" spans="1:12" x14ac:dyDescent="0.3">
      <c r="A3934" s="3"/>
      <c r="C3934" s="1"/>
      <c r="E3934" s="1"/>
      <c r="J3934" s="3"/>
      <c r="L3934" s="1"/>
    </row>
    <row r="3935" spans="1:12" x14ac:dyDescent="0.3">
      <c r="A3935" s="3"/>
      <c r="C3935" s="1"/>
      <c r="E3935" s="1"/>
      <c r="J3935" s="3"/>
      <c r="L3935" s="1"/>
    </row>
    <row r="3936" spans="1:12" x14ac:dyDescent="0.3">
      <c r="A3936" s="3"/>
      <c r="C3936" s="1"/>
      <c r="E3936" s="1"/>
      <c r="J3936" s="3"/>
      <c r="L3936" s="1"/>
    </row>
    <row r="3937" spans="1:12" x14ac:dyDescent="0.3">
      <c r="A3937" s="3"/>
      <c r="C3937" s="1"/>
      <c r="E3937" s="1"/>
      <c r="J3937" s="3"/>
      <c r="L3937" s="1"/>
    </row>
    <row r="3938" spans="1:12" x14ac:dyDescent="0.3">
      <c r="A3938" s="3"/>
      <c r="C3938" s="1"/>
      <c r="E3938" s="1"/>
      <c r="J3938" s="3"/>
      <c r="L3938" s="1"/>
    </row>
    <row r="3939" spans="1:12" x14ac:dyDescent="0.3">
      <c r="A3939" s="3"/>
      <c r="C3939" s="1"/>
      <c r="E3939" s="1"/>
      <c r="J3939" s="3"/>
      <c r="L3939" s="1"/>
    </row>
    <row r="3940" spans="1:12" x14ac:dyDescent="0.3">
      <c r="A3940" s="3"/>
      <c r="C3940" s="1"/>
      <c r="E3940" s="1"/>
      <c r="J3940" s="3"/>
      <c r="L3940" s="1"/>
    </row>
    <row r="3941" spans="1:12" x14ac:dyDescent="0.3">
      <c r="A3941" s="3"/>
      <c r="C3941" s="1"/>
      <c r="E3941" s="1"/>
      <c r="J3941" s="3"/>
      <c r="L3941" s="1"/>
    </row>
    <row r="3942" spans="1:12" x14ac:dyDescent="0.3">
      <c r="A3942" s="3"/>
      <c r="C3942" s="1"/>
      <c r="E3942" s="1"/>
      <c r="J3942" s="3"/>
      <c r="L3942" s="1"/>
    </row>
    <row r="3943" spans="1:12" x14ac:dyDescent="0.3">
      <c r="A3943" s="3"/>
      <c r="C3943" s="1"/>
      <c r="E3943" s="1"/>
      <c r="J3943" s="3"/>
      <c r="L3943" s="1"/>
    </row>
    <row r="3944" spans="1:12" x14ac:dyDescent="0.3">
      <c r="A3944" s="3"/>
      <c r="C3944" s="1"/>
      <c r="E3944" s="1"/>
      <c r="J3944" s="3"/>
      <c r="L3944" s="1"/>
    </row>
    <row r="3945" spans="1:12" x14ac:dyDescent="0.3">
      <c r="A3945" s="3"/>
      <c r="C3945" s="1"/>
      <c r="E3945" s="1"/>
      <c r="J3945" s="3"/>
      <c r="L3945" s="1"/>
    </row>
    <row r="3946" spans="1:12" x14ac:dyDescent="0.3">
      <c r="A3946" s="3"/>
      <c r="C3946" s="1"/>
      <c r="E3946" s="1"/>
      <c r="J3946" s="3"/>
      <c r="L3946" s="1"/>
    </row>
    <row r="3947" spans="1:12" x14ac:dyDescent="0.3">
      <c r="A3947" s="3"/>
      <c r="C3947" s="1"/>
      <c r="E3947" s="1"/>
      <c r="J3947" s="3"/>
      <c r="L3947" s="1"/>
    </row>
    <row r="3948" spans="1:12" x14ac:dyDescent="0.3">
      <c r="A3948" s="3"/>
      <c r="C3948" s="1"/>
      <c r="E3948" s="1"/>
      <c r="J3948" s="3"/>
      <c r="L3948" s="1"/>
    </row>
    <row r="3949" spans="1:12" x14ac:dyDescent="0.3">
      <c r="A3949" s="3"/>
      <c r="C3949" s="1"/>
      <c r="E3949" s="1"/>
      <c r="J3949" s="3"/>
      <c r="L3949" s="1"/>
    </row>
    <row r="3950" spans="1:12" x14ac:dyDescent="0.3">
      <c r="A3950" s="3"/>
      <c r="C3950" s="1"/>
      <c r="E3950" s="1"/>
      <c r="J3950" s="3"/>
      <c r="L3950" s="1"/>
    </row>
    <row r="3951" spans="1:12" x14ac:dyDescent="0.3">
      <c r="A3951" s="3"/>
      <c r="C3951" s="1"/>
      <c r="E3951" s="1"/>
      <c r="J3951" s="3"/>
      <c r="L3951" s="1"/>
    </row>
    <row r="3952" spans="1:12" x14ac:dyDescent="0.3">
      <c r="A3952" s="3"/>
      <c r="C3952" s="1"/>
      <c r="E3952" s="1"/>
      <c r="J3952" s="3"/>
      <c r="L3952" s="1"/>
    </row>
    <row r="3953" spans="1:12" x14ac:dyDescent="0.3">
      <c r="A3953" s="3"/>
      <c r="C3953" s="1"/>
      <c r="E3953" s="1"/>
      <c r="J3953" s="3"/>
      <c r="L3953" s="1"/>
    </row>
    <row r="3954" spans="1:12" x14ac:dyDescent="0.3">
      <c r="A3954" s="3"/>
      <c r="C3954" s="1"/>
      <c r="E3954" s="1"/>
      <c r="J3954" s="3"/>
      <c r="L3954" s="1"/>
    </row>
    <row r="3955" spans="1:12" x14ac:dyDescent="0.3">
      <c r="A3955" s="3"/>
      <c r="C3955" s="1"/>
      <c r="E3955" s="1"/>
      <c r="J3955" s="3"/>
      <c r="L3955" s="1"/>
    </row>
    <row r="3956" spans="1:12" x14ac:dyDescent="0.3">
      <c r="A3956" s="3"/>
      <c r="C3956" s="1"/>
      <c r="E3956" s="1"/>
      <c r="J3956" s="3"/>
      <c r="L3956" s="1"/>
    </row>
    <row r="3957" spans="1:12" x14ac:dyDescent="0.3">
      <c r="A3957" s="3"/>
      <c r="C3957" s="1"/>
      <c r="E3957" s="1"/>
      <c r="J3957" s="3"/>
      <c r="L3957" s="1"/>
    </row>
    <row r="3958" spans="1:12" x14ac:dyDescent="0.3">
      <c r="A3958" s="3"/>
      <c r="C3958" s="1"/>
      <c r="E3958" s="1"/>
      <c r="J3958" s="3"/>
      <c r="L3958" s="1"/>
    </row>
    <row r="3959" spans="1:12" x14ac:dyDescent="0.3">
      <c r="A3959" s="3"/>
      <c r="C3959" s="1"/>
      <c r="E3959" s="1"/>
      <c r="J3959" s="3"/>
      <c r="L3959" s="1"/>
    </row>
    <row r="3960" spans="1:12" x14ac:dyDescent="0.3">
      <c r="A3960" s="3"/>
      <c r="C3960" s="1"/>
      <c r="E3960" s="1"/>
      <c r="J3960" s="3"/>
      <c r="L3960" s="1"/>
    </row>
    <row r="3961" spans="1:12" x14ac:dyDescent="0.3">
      <c r="A3961" s="3"/>
      <c r="C3961" s="1"/>
      <c r="E3961" s="1"/>
      <c r="J3961" s="3"/>
      <c r="L3961" s="1"/>
    </row>
    <row r="3962" spans="1:12" x14ac:dyDescent="0.3">
      <c r="A3962" s="3"/>
      <c r="C3962" s="1"/>
      <c r="E3962" s="1"/>
      <c r="J3962" s="3"/>
      <c r="L3962" s="1"/>
    </row>
    <row r="3963" spans="1:12" x14ac:dyDescent="0.3">
      <c r="A3963" s="3"/>
      <c r="C3963" s="1"/>
      <c r="E3963" s="1"/>
      <c r="J3963" s="3"/>
      <c r="L3963" s="1"/>
    </row>
    <row r="3964" spans="1:12" x14ac:dyDescent="0.3">
      <c r="A3964" s="3"/>
      <c r="C3964" s="1"/>
      <c r="E3964" s="1"/>
      <c r="J3964" s="3"/>
      <c r="L3964" s="1"/>
    </row>
    <row r="3965" spans="1:12" x14ac:dyDescent="0.3">
      <c r="A3965" s="3"/>
      <c r="C3965" s="1"/>
      <c r="E3965" s="1"/>
      <c r="J3965" s="3"/>
      <c r="L3965" s="1"/>
    </row>
    <row r="3966" spans="1:12" x14ac:dyDescent="0.3">
      <c r="A3966" s="3"/>
      <c r="C3966" s="1"/>
      <c r="E3966" s="1"/>
      <c r="J3966" s="3"/>
      <c r="L3966" s="1"/>
    </row>
    <row r="3967" spans="1:12" x14ac:dyDescent="0.3">
      <c r="A3967" s="3"/>
      <c r="C3967" s="1"/>
      <c r="E3967" s="1"/>
      <c r="J3967" s="3"/>
      <c r="L3967" s="1"/>
    </row>
    <row r="3968" spans="1:12" x14ac:dyDescent="0.3">
      <c r="A3968" s="3"/>
      <c r="C3968" s="1"/>
      <c r="E3968" s="1"/>
      <c r="J3968" s="3"/>
      <c r="L3968" s="1"/>
    </row>
    <row r="3969" spans="1:12" x14ac:dyDescent="0.3">
      <c r="A3969" s="3"/>
      <c r="C3969" s="1"/>
      <c r="E3969" s="1"/>
      <c r="J3969" s="3"/>
      <c r="L3969" s="1"/>
    </row>
    <row r="3970" spans="1:12" x14ac:dyDescent="0.3">
      <c r="A3970" s="3"/>
      <c r="C3970" s="1"/>
      <c r="E3970" s="1"/>
      <c r="J3970" s="3"/>
      <c r="L3970" s="1"/>
    </row>
    <row r="3971" spans="1:12" x14ac:dyDescent="0.3">
      <c r="A3971" s="3"/>
      <c r="C3971" s="1"/>
      <c r="E3971" s="1"/>
      <c r="J3971" s="3"/>
      <c r="L3971" s="1"/>
    </row>
    <row r="3972" spans="1:12" x14ac:dyDescent="0.3">
      <c r="A3972" s="3"/>
      <c r="C3972" s="1"/>
      <c r="E3972" s="1"/>
      <c r="J3972" s="3"/>
      <c r="L3972" s="1"/>
    </row>
    <row r="3973" spans="1:12" x14ac:dyDescent="0.3">
      <c r="A3973" s="3"/>
      <c r="C3973" s="1"/>
      <c r="E3973" s="1"/>
      <c r="J3973" s="3"/>
      <c r="L3973" s="1"/>
    </row>
    <row r="3974" spans="1:12" x14ac:dyDescent="0.3">
      <c r="A3974" s="3"/>
      <c r="C3974" s="1"/>
      <c r="E3974" s="1"/>
      <c r="J3974" s="3"/>
      <c r="L3974" s="1"/>
    </row>
    <row r="3975" spans="1:12" x14ac:dyDescent="0.3">
      <c r="A3975" s="3"/>
      <c r="C3975" s="1"/>
      <c r="E3975" s="1"/>
      <c r="J3975" s="3"/>
      <c r="L3975" s="1"/>
    </row>
    <row r="3976" spans="1:12" x14ac:dyDescent="0.3">
      <c r="A3976" s="3"/>
      <c r="C3976" s="1"/>
      <c r="E3976" s="1"/>
      <c r="J3976" s="3"/>
      <c r="L3976" s="1"/>
    </row>
    <row r="3977" spans="1:12" x14ac:dyDescent="0.3">
      <c r="A3977" s="3"/>
      <c r="C3977" s="1"/>
      <c r="E3977" s="1"/>
      <c r="J3977" s="3"/>
      <c r="L3977" s="1"/>
    </row>
    <row r="3978" spans="1:12" x14ac:dyDescent="0.3">
      <c r="A3978" s="3"/>
      <c r="C3978" s="1"/>
      <c r="E3978" s="1"/>
      <c r="J3978" s="3"/>
      <c r="L3978" s="1"/>
    </row>
    <row r="3979" spans="1:12" x14ac:dyDescent="0.3">
      <c r="A3979" s="3"/>
      <c r="C3979" s="1"/>
      <c r="E3979" s="1"/>
      <c r="J3979" s="3"/>
      <c r="L3979" s="1"/>
    </row>
    <row r="3980" spans="1:12" x14ac:dyDescent="0.3">
      <c r="A3980" s="3"/>
      <c r="C3980" s="1"/>
      <c r="E3980" s="1"/>
      <c r="J3980" s="3"/>
      <c r="L3980" s="1"/>
    </row>
    <row r="3981" spans="1:12" x14ac:dyDescent="0.3">
      <c r="A3981" s="3"/>
      <c r="C3981" s="1"/>
      <c r="E3981" s="1"/>
      <c r="J3981" s="3"/>
      <c r="L3981" s="1"/>
    </row>
    <row r="3982" spans="1:12" x14ac:dyDescent="0.3">
      <c r="A3982" s="3"/>
      <c r="C3982" s="1"/>
      <c r="E3982" s="1"/>
      <c r="J3982" s="3"/>
      <c r="L3982" s="1"/>
    </row>
    <row r="3983" spans="1:12" x14ac:dyDescent="0.3">
      <c r="A3983" s="3"/>
      <c r="C3983" s="1"/>
      <c r="E3983" s="1"/>
      <c r="J3983" s="3"/>
      <c r="L3983" s="1"/>
    </row>
    <row r="3984" spans="1:12" x14ac:dyDescent="0.3">
      <c r="A3984" s="3"/>
      <c r="C3984" s="1"/>
      <c r="E3984" s="1"/>
      <c r="J3984" s="3"/>
      <c r="L3984" s="1"/>
    </row>
    <row r="3985" spans="1:12" x14ac:dyDescent="0.3">
      <c r="A3985" s="3"/>
      <c r="C3985" s="1"/>
      <c r="E3985" s="1"/>
      <c r="J3985" s="3"/>
      <c r="L3985" s="1"/>
    </row>
    <row r="3986" spans="1:12" x14ac:dyDescent="0.3">
      <c r="A3986" s="3"/>
      <c r="C3986" s="1"/>
      <c r="E3986" s="1"/>
      <c r="J3986" s="3"/>
      <c r="L3986" s="1"/>
    </row>
    <row r="3987" spans="1:12" x14ac:dyDescent="0.3">
      <c r="A3987" s="3"/>
      <c r="C3987" s="1"/>
      <c r="E3987" s="1"/>
      <c r="J3987" s="3"/>
      <c r="L3987" s="1"/>
    </row>
    <row r="3988" spans="1:12" x14ac:dyDescent="0.3">
      <c r="A3988" s="3"/>
      <c r="C3988" s="1"/>
      <c r="E3988" s="1"/>
      <c r="J3988" s="3"/>
      <c r="L3988" s="1"/>
    </row>
    <row r="3989" spans="1:12" x14ac:dyDescent="0.3">
      <c r="A3989" s="3"/>
      <c r="C3989" s="1"/>
      <c r="E3989" s="1"/>
      <c r="J3989" s="3"/>
      <c r="L3989" s="1"/>
    </row>
    <row r="3990" spans="1:12" x14ac:dyDescent="0.3">
      <c r="A3990" s="3"/>
      <c r="C3990" s="1"/>
      <c r="E3990" s="1"/>
      <c r="J3990" s="3"/>
      <c r="L3990" s="1"/>
    </row>
    <row r="3991" spans="1:12" x14ac:dyDescent="0.3">
      <c r="A3991" s="3"/>
      <c r="C3991" s="1"/>
      <c r="E3991" s="1"/>
      <c r="J3991" s="3"/>
      <c r="L3991" s="1"/>
    </row>
    <row r="3992" spans="1:12" x14ac:dyDescent="0.3">
      <c r="A3992" s="3"/>
      <c r="C3992" s="1"/>
      <c r="E3992" s="1"/>
      <c r="J3992" s="3"/>
      <c r="L3992" s="1"/>
    </row>
    <row r="3993" spans="1:12" x14ac:dyDescent="0.3">
      <c r="A3993" s="3"/>
      <c r="C3993" s="1"/>
      <c r="E3993" s="1"/>
      <c r="J3993" s="3"/>
      <c r="L3993" s="1"/>
    </row>
    <row r="3994" spans="1:12" x14ac:dyDescent="0.3">
      <c r="A3994" s="3"/>
      <c r="C3994" s="1"/>
      <c r="E3994" s="1"/>
      <c r="J3994" s="3"/>
      <c r="L3994" s="1"/>
    </row>
    <row r="3995" spans="1:12" x14ac:dyDescent="0.3">
      <c r="A3995" s="3"/>
      <c r="C3995" s="1"/>
      <c r="E3995" s="1"/>
      <c r="J3995" s="3"/>
      <c r="L3995" s="1"/>
    </row>
    <row r="3996" spans="1:12" x14ac:dyDescent="0.3">
      <c r="A3996" s="3"/>
      <c r="C3996" s="1"/>
      <c r="E3996" s="1"/>
      <c r="J3996" s="3"/>
      <c r="L3996" s="1"/>
    </row>
    <row r="3997" spans="1:12" x14ac:dyDescent="0.3">
      <c r="A3997" s="3"/>
      <c r="C3997" s="1"/>
      <c r="E3997" s="1"/>
      <c r="J3997" s="3"/>
      <c r="L3997" s="1"/>
    </row>
    <row r="3998" spans="1:12" x14ac:dyDescent="0.3">
      <c r="A3998" s="3"/>
      <c r="C3998" s="1"/>
      <c r="E3998" s="1"/>
      <c r="J3998" s="3"/>
      <c r="L3998" s="1"/>
    </row>
    <row r="3999" spans="1:12" x14ac:dyDescent="0.3">
      <c r="A3999" s="3"/>
      <c r="C3999" s="1"/>
      <c r="E3999" s="1"/>
      <c r="J3999" s="3"/>
      <c r="L3999" s="1"/>
    </row>
    <row r="4000" spans="1:12" x14ac:dyDescent="0.3">
      <c r="A4000" s="3"/>
      <c r="C4000" s="1"/>
      <c r="E4000" s="1"/>
      <c r="J4000" s="3"/>
      <c r="L4000" s="1"/>
    </row>
    <row r="4001" spans="1:12" x14ac:dyDescent="0.3">
      <c r="A4001" s="3"/>
      <c r="C4001" s="1"/>
      <c r="E4001" s="1"/>
      <c r="J4001" s="3"/>
      <c r="L4001" s="1"/>
    </row>
    <row r="4002" spans="1:12" x14ac:dyDescent="0.3">
      <c r="A4002" s="3"/>
      <c r="C4002" s="1"/>
      <c r="E4002" s="1"/>
      <c r="J4002" s="3"/>
      <c r="L4002" s="1"/>
    </row>
    <row r="4003" spans="1:12" x14ac:dyDescent="0.3">
      <c r="A4003" s="3"/>
      <c r="C4003" s="1"/>
      <c r="E4003" s="1"/>
      <c r="J4003" s="3"/>
      <c r="L4003" s="1"/>
    </row>
    <row r="4004" spans="1:12" x14ac:dyDescent="0.3">
      <c r="A4004" s="3"/>
      <c r="C4004" s="1"/>
      <c r="E4004" s="1"/>
      <c r="J4004" s="3"/>
      <c r="L4004" s="1"/>
    </row>
    <row r="4005" spans="1:12" x14ac:dyDescent="0.3">
      <c r="A4005" s="3"/>
      <c r="C4005" s="1"/>
      <c r="E4005" s="1"/>
      <c r="J4005" s="3"/>
      <c r="L4005" s="1"/>
    </row>
    <row r="4006" spans="1:12" x14ac:dyDescent="0.3">
      <c r="A4006" s="3"/>
      <c r="C4006" s="1"/>
      <c r="E4006" s="1"/>
      <c r="J4006" s="3"/>
      <c r="L4006" s="1"/>
    </row>
    <row r="4007" spans="1:12" x14ac:dyDescent="0.3">
      <c r="A4007" s="3"/>
      <c r="C4007" s="1"/>
      <c r="E4007" s="1"/>
      <c r="J4007" s="3"/>
      <c r="L4007" s="1"/>
    </row>
    <row r="4008" spans="1:12" x14ac:dyDescent="0.3">
      <c r="A4008" s="3"/>
      <c r="C4008" s="1"/>
      <c r="E4008" s="1"/>
      <c r="J4008" s="3"/>
      <c r="L4008" s="1"/>
    </row>
    <row r="4009" spans="1:12" x14ac:dyDescent="0.3">
      <c r="A4009" s="3"/>
      <c r="C4009" s="1"/>
      <c r="E4009" s="1"/>
      <c r="J4009" s="3"/>
      <c r="L4009" s="1"/>
    </row>
    <row r="4010" spans="1:12" x14ac:dyDescent="0.3">
      <c r="A4010" s="3"/>
      <c r="C4010" s="1"/>
      <c r="E4010" s="1"/>
      <c r="J4010" s="3"/>
      <c r="L4010" s="1"/>
    </row>
    <row r="4011" spans="1:12" x14ac:dyDescent="0.3">
      <c r="A4011" s="3"/>
      <c r="C4011" s="1"/>
      <c r="E4011" s="1"/>
      <c r="J4011" s="3"/>
      <c r="L4011" s="1"/>
    </row>
    <row r="4012" spans="1:12" x14ac:dyDescent="0.3">
      <c r="A4012" s="3"/>
      <c r="C4012" s="1"/>
      <c r="E4012" s="1"/>
      <c r="J4012" s="3"/>
      <c r="L4012" s="1"/>
    </row>
    <row r="4013" spans="1:12" x14ac:dyDescent="0.3">
      <c r="A4013" s="3"/>
      <c r="C4013" s="1"/>
      <c r="E4013" s="1"/>
      <c r="J4013" s="3"/>
      <c r="L4013" s="1"/>
    </row>
    <row r="4014" spans="1:12" x14ac:dyDescent="0.3">
      <c r="A4014" s="3"/>
      <c r="C4014" s="1"/>
      <c r="E4014" s="1"/>
      <c r="J4014" s="3"/>
      <c r="L4014" s="1"/>
    </row>
    <row r="4015" spans="1:12" x14ac:dyDescent="0.3">
      <c r="A4015" s="3"/>
      <c r="C4015" s="1"/>
      <c r="E4015" s="1"/>
      <c r="J4015" s="3"/>
      <c r="L4015" s="1"/>
    </row>
    <row r="4016" spans="1:12" x14ac:dyDescent="0.3">
      <c r="A4016" s="3"/>
      <c r="C4016" s="1"/>
      <c r="E4016" s="1"/>
      <c r="J4016" s="3"/>
      <c r="L4016" s="1"/>
    </row>
    <row r="4017" spans="1:12" x14ac:dyDescent="0.3">
      <c r="A4017" s="3"/>
      <c r="C4017" s="1"/>
      <c r="E4017" s="1"/>
      <c r="J4017" s="3"/>
      <c r="L4017" s="1"/>
    </row>
    <row r="4018" spans="1:12" x14ac:dyDescent="0.3">
      <c r="A4018" s="3"/>
      <c r="C4018" s="1"/>
      <c r="E4018" s="1"/>
      <c r="J4018" s="3"/>
      <c r="L4018" s="1"/>
    </row>
    <row r="4019" spans="1:12" x14ac:dyDescent="0.3">
      <c r="A4019" s="3"/>
      <c r="C4019" s="1"/>
      <c r="E4019" s="1"/>
      <c r="J4019" s="3"/>
      <c r="L4019" s="1"/>
    </row>
    <row r="4020" spans="1:12" x14ac:dyDescent="0.3">
      <c r="A4020" s="3"/>
      <c r="C4020" s="1"/>
      <c r="E4020" s="1"/>
      <c r="J4020" s="3"/>
      <c r="L4020" s="1"/>
    </row>
    <row r="4021" spans="1:12" x14ac:dyDescent="0.3">
      <c r="A4021" s="3"/>
      <c r="C4021" s="1"/>
      <c r="E4021" s="1"/>
      <c r="J4021" s="3"/>
      <c r="L4021" s="1"/>
    </row>
    <row r="4022" spans="1:12" x14ac:dyDescent="0.3">
      <c r="A4022" s="3"/>
      <c r="C4022" s="1"/>
      <c r="E4022" s="1"/>
      <c r="J4022" s="3"/>
      <c r="L4022" s="1"/>
    </row>
    <row r="4023" spans="1:12" x14ac:dyDescent="0.3">
      <c r="A4023" s="3"/>
      <c r="C4023" s="1"/>
      <c r="E4023" s="1"/>
      <c r="J4023" s="3"/>
      <c r="L4023" s="1"/>
    </row>
    <row r="4024" spans="1:12" x14ac:dyDescent="0.3">
      <c r="A4024" s="3"/>
      <c r="C4024" s="1"/>
      <c r="E4024" s="1"/>
      <c r="J4024" s="3"/>
      <c r="L4024" s="1"/>
    </row>
    <row r="4025" spans="1:12" x14ac:dyDescent="0.3">
      <c r="A4025" s="3"/>
      <c r="C4025" s="1"/>
      <c r="E4025" s="1"/>
      <c r="J4025" s="3"/>
      <c r="L4025" s="1"/>
    </row>
    <row r="4026" spans="1:12" x14ac:dyDescent="0.3">
      <c r="A4026" s="3"/>
      <c r="C4026" s="1"/>
      <c r="E4026" s="1"/>
      <c r="J4026" s="3"/>
      <c r="L4026" s="1"/>
    </row>
    <row r="4027" spans="1:12" x14ac:dyDescent="0.3">
      <c r="A4027" s="3"/>
      <c r="C4027" s="1"/>
      <c r="E4027" s="1"/>
      <c r="J4027" s="3"/>
      <c r="L4027" s="1"/>
    </row>
    <row r="4028" spans="1:12" x14ac:dyDescent="0.3">
      <c r="A4028" s="3"/>
      <c r="C4028" s="1"/>
      <c r="E4028" s="1"/>
      <c r="J4028" s="3"/>
      <c r="L4028" s="1"/>
    </row>
    <row r="4029" spans="1:12" x14ac:dyDescent="0.3">
      <c r="A4029" s="3"/>
      <c r="C4029" s="1"/>
      <c r="E4029" s="1"/>
      <c r="J4029" s="3"/>
      <c r="L4029" s="1"/>
    </row>
    <row r="4030" spans="1:12" x14ac:dyDescent="0.3">
      <c r="A4030" s="3"/>
      <c r="C4030" s="1"/>
      <c r="E4030" s="1"/>
      <c r="J4030" s="3"/>
      <c r="L4030" s="1"/>
    </row>
    <row r="4031" spans="1:12" x14ac:dyDescent="0.3">
      <c r="A4031" s="3"/>
      <c r="C4031" s="1"/>
      <c r="E4031" s="1"/>
      <c r="J4031" s="3"/>
      <c r="L4031" s="1"/>
    </row>
    <row r="4032" spans="1:12" x14ac:dyDescent="0.3">
      <c r="A4032" s="3"/>
      <c r="C4032" s="1"/>
      <c r="E4032" s="1"/>
      <c r="J4032" s="3"/>
      <c r="L4032" s="1"/>
    </row>
    <row r="4033" spans="1:12" x14ac:dyDescent="0.3">
      <c r="A4033" s="3"/>
      <c r="C4033" s="1"/>
      <c r="E4033" s="1"/>
      <c r="J4033" s="3"/>
      <c r="L4033" s="1"/>
    </row>
    <row r="4034" spans="1:12" x14ac:dyDescent="0.3">
      <c r="A4034" s="3"/>
      <c r="C4034" s="1"/>
      <c r="E4034" s="1"/>
      <c r="J4034" s="3"/>
      <c r="L4034" s="1"/>
    </row>
    <row r="4035" spans="1:12" x14ac:dyDescent="0.3">
      <c r="A4035" s="3"/>
      <c r="C4035" s="1"/>
      <c r="E4035" s="1"/>
      <c r="J4035" s="3"/>
      <c r="L4035" s="1"/>
    </row>
    <row r="4036" spans="1:12" x14ac:dyDescent="0.3">
      <c r="A4036" s="3"/>
      <c r="C4036" s="1"/>
      <c r="E4036" s="1"/>
      <c r="J4036" s="3"/>
      <c r="L4036" s="1"/>
    </row>
    <row r="4037" spans="1:12" x14ac:dyDescent="0.3">
      <c r="A4037" s="3"/>
      <c r="C4037" s="1"/>
      <c r="E4037" s="1"/>
      <c r="J4037" s="3"/>
      <c r="L4037" s="1"/>
    </row>
    <row r="4038" spans="1:12" x14ac:dyDescent="0.3">
      <c r="A4038" s="3"/>
      <c r="C4038" s="1"/>
      <c r="E4038" s="1"/>
      <c r="J4038" s="3"/>
      <c r="L4038" s="1"/>
    </row>
    <row r="4039" spans="1:12" x14ac:dyDescent="0.3">
      <c r="A4039" s="3"/>
      <c r="C4039" s="1"/>
      <c r="E4039" s="1"/>
      <c r="J4039" s="3"/>
      <c r="L4039" s="1"/>
    </row>
    <row r="4040" spans="1:12" x14ac:dyDescent="0.3">
      <c r="A4040" s="3"/>
      <c r="C4040" s="1"/>
      <c r="E4040" s="1"/>
      <c r="J4040" s="3"/>
      <c r="L4040" s="1"/>
    </row>
    <row r="4041" spans="1:12" x14ac:dyDescent="0.3">
      <c r="A4041" s="3"/>
      <c r="C4041" s="1"/>
      <c r="E4041" s="1"/>
      <c r="J4041" s="3"/>
      <c r="L4041" s="1"/>
    </row>
    <row r="4042" spans="1:12" x14ac:dyDescent="0.3">
      <c r="A4042" s="3"/>
      <c r="C4042" s="1"/>
      <c r="E4042" s="1"/>
      <c r="J4042" s="3"/>
      <c r="L4042" s="1"/>
    </row>
    <row r="4043" spans="1:12" x14ac:dyDescent="0.3">
      <c r="A4043" s="3"/>
      <c r="C4043" s="1"/>
      <c r="E4043" s="1"/>
      <c r="J4043" s="3"/>
      <c r="L4043" s="1"/>
    </row>
    <row r="4044" spans="1:12" x14ac:dyDescent="0.3">
      <c r="A4044" s="3"/>
      <c r="C4044" s="1"/>
      <c r="E4044" s="1"/>
      <c r="J4044" s="3"/>
      <c r="L4044" s="1"/>
    </row>
    <row r="4045" spans="1:12" x14ac:dyDescent="0.3">
      <c r="A4045" s="3"/>
      <c r="C4045" s="1"/>
      <c r="E4045" s="1"/>
      <c r="J4045" s="3"/>
      <c r="L4045" s="1"/>
    </row>
    <row r="4046" spans="1:12" x14ac:dyDescent="0.3">
      <c r="A4046" s="3"/>
      <c r="C4046" s="1"/>
      <c r="E4046" s="1"/>
      <c r="J4046" s="3"/>
      <c r="L4046" s="1"/>
    </row>
    <row r="4047" spans="1:12" x14ac:dyDescent="0.3">
      <c r="A4047" s="3"/>
      <c r="C4047" s="1"/>
      <c r="E4047" s="1"/>
      <c r="J4047" s="3"/>
      <c r="L4047" s="1"/>
    </row>
    <row r="4048" spans="1:12" x14ac:dyDescent="0.3">
      <c r="A4048" s="3"/>
      <c r="C4048" s="1"/>
      <c r="E4048" s="1"/>
      <c r="J4048" s="3"/>
      <c r="L4048" s="1"/>
    </row>
    <row r="4049" spans="1:12" x14ac:dyDescent="0.3">
      <c r="A4049" s="3"/>
      <c r="C4049" s="1"/>
      <c r="E4049" s="1"/>
      <c r="J4049" s="3"/>
      <c r="L4049" s="1"/>
    </row>
    <row r="4050" spans="1:12" x14ac:dyDescent="0.3">
      <c r="A4050" s="3"/>
      <c r="C4050" s="1"/>
      <c r="E4050" s="1"/>
      <c r="J4050" s="3"/>
      <c r="L4050" s="1"/>
    </row>
    <row r="4051" spans="1:12" x14ac:dyDescent="0.3">
      <c r="A4051" s="3"/>
      <c r="C4051" s="1"/>
      <c r="E4051" s="1"/>
      <c r="J4051" s="3"/>
      <c r="L4051" s="1"/>
    </row>
    <row r="4052" spans="1:12" x14ac:dyDescent="0.3">
      <c r="A4052" s="3"/>
      <c r="C4052" s="1"/>
      <c r="E4052" s="1"/>
      <c r="J4052" s="3"/>
      <c r="L4052" s="1"/>
    </row>
    <row r="4053" spans="1:12" x14ac:dyDescent="0.3">
      <c r="A4053" s="3"/>
      <c r="C4053" s="1"/>
      <c r="E4053" s="1"/>
      <c r="J4053" s="3"/>
      <c r="L4053" s="1"/>
    </row>
    <row r="4054" spans="1:12" x14ac:dyDescent="0.3">
      <c r="A4054" s="3"/>
      <c r="C4054" s="1"/>
      <c r="E4054" s="1"/>
      <c r="J4054" s="3"/>
      <c r="L4054" s="1"/>
    </row>
    <row r="4055" spans="1:12" x14ac:dyDescent="0.3">
      <c r="A4055" s="3"/>
      <c r="C4055" s="1"/>
      <c r="E4055" s="1"/>
      <c r="J4055" s="3"/>
      <c r="L4055" s="1"/>
    </row>
    <row r="4056" spans="1:12" x14ac:dyDescent="0.3">
      <c r="A4056" s="3"/>
      <c r="C4056" s="1"/>
      <c r="E4056" s="1"/>
      <c r="J4056" s="3"/>
      <c r="L4056" s="1"/>
    </row>
    <row r="4057" spans="1:12" x14ac:dyDescent="0.3">
      <c r="A4057" s="3"/>
      <c r="C4057" s="1"/>
      <c r="E4057" s="1"/>
      <c r="J4057" s="3"/>
      <c r="L4057" s="1"/>
    </row>
    <row r="4058" spans="1:12" x14ac:dyDescent="0.3">
      <c r="A4058" s="3"/>
      <c r="C4058" s="1"/>
      <c r="E4058" s="1"/>
      <c r="J4058" s="3"/>
      <c r="L4058" s="1"/>
    </row>
    <row r="4059" spans="1:12" x14ac:dyDescent="0.3">
      <c r="A4059" s="3"/>
      <c r="C4059" s="1"/>
      <c r="E4059" s="1"/>
      <c r="J4059" s="3"/>
      <c r="L4059" s="1"/>
    </row>
    <row r="4060" spans="1:12" x14ac:dyDescent="0.3">
      <c r="A4060" s="3"/>
      <c r="C4060" s="1"/>
      <c r="E4060" s="1"/>
      <c r="J4060" s="3"/>
      <c r="L4060" s="1"/>
    </row>
    <row r="4061" spans="1:12" x14ac:dyDescent="0.3">
      <c r="A4061" s="3"/>
      <c r="C4061" s="1"/>
      <c r="E4061" s="1"/>
      <c r="J4061" s="3"/>
      <c r="L4061" s="1"/>
    </row>
    <row r="4062" spans="1:12" x14ac:dyDescent="0.3">
      <c r="A4062" s="3"/>
      <c r="C4062" s="1"/>
      <c r="E4062" s="1"/>
      <c r="J4062" s="3"/>
      <c r="L4062" s="1"/>
    </row>
    <row r="4063" spans="1:12" x14ac:dyDescent="0.3">
      <c r="A4063" s="3"/>
      <c r="C4063" s="1"/>
      <c r="E4063" s="1"/>
      <c r="J4063" s="3"/>
      <c r="L4063" s="1"/>
    </row>
    <row r="4064" spans="1:12" x14ac:dyDescent="0.3">
      <c r="A4064" s="3"/>
      <c r="C4064" s="1"/>
      <c r="E4064" s="1"/>
      <c r="J4064" s="3"/>
      <c r="L4064" s="1"/>
    </row>
    <row r="4065" spans="1:12" x14ac:dyDescent="0.3">
      <c r="A4065" s="3"/>
      <c r="C4065" s="1"/>
      <c r="E4065" s="1"/>
      <c r="J4065" s="3"/>
      <c r="L4065" s="1"/>
    </row>
    <row r="4066" spans="1:12" x14ac:dyDescent="0.3">
      <c r="A4066" s="3"/>
      <c r="C4066" s="1"/>
      <c r="E4066" s="1"/>
      <c r="J4066" s="3"/>
      <c r="L4066" s="1"/>
    </row>
    <row r="4067" spans="1:12" x14ac:dyDescent="0.3">
      <c r="A4067" s="3"/>
      <c r="C4067" s="1"/>
      <c r="E4067" s="1"/>
      <c r="J4067" s="3"/>
      <c r="L4067" s="1"/>
    </row>
    <row r="4068" spans="1:12" x14ac:dyDescent="0.3">
      <c r="A4068" s="3"/>
      <c r="C4068" s="1"/>
      <c r="E4068" s="1"/>
      <c r="J4068" s="3"/>
      <c r="L4068" s="1"/>
    </row>
    <row r="4069" spans="1:12" x14ac:dyDescent="0.3">
      <c r="A4069" s="3"/>
      <c r="C4069" s="1"/>
      <c r="E4069" s="1"/>
      <c r="J4069" s="3"/>
      <c r="L4069" s="1"/>
    </row>
    <row r="4070" spans="1:12" x14ac:dyDescent="0.3">
      <c r="A4070" s="3"/>
      <c r="C4070" s="1"/>
      <c r="E4070" s="1"/>
      <c r="J4070" s="3"/>
      <c r="L4070" s="1"/>
    </row>
    <row r="4071" spans="1:12" x14ac:dyDescent="0.3">
      <c r="A4071" s="3"/>
      <c r="C4071" s="1"/>
      <c r="E4071" s="1"/>
      <c r="J4071" s="3"/>
      <c r="L4071" s="1"/>
    </row>
    <row r="4072" spans="1:12" x14ac:dyDescent="0.3">
      <c r="A4072" s="3"/>
      <c r="C4072" s="1"/>
      <c r="E4072" s="1"/>
      <c r="J4072" s="3"/>
      <c r="L4072" s="1"/>
    </row>
    <row r="4073" spans="1:12" x14ac:dyDescent="0.3">
      <c r="A4073" s="3"/>
      <c r="C4073" s="1"/>
      <c r="E4073" s="1"/>
      <c r="J4073" s="3"/>
      <c r="L4073" s="1"/>
    </row>
    <row r="4074" spans="1:12" x14ac:dyDescent="0.3">
      <c r="A4074" s="3"/>
      <c r="C4074" s="1"/>
      <c r="E4074" s="1"/>
      <c r="J4074" s="3"/>
      <c r="L4074" s="1"/>
    </row>
    <row r="4075" spans="1:12" x14ac:dyDescent="0.3">
      <c r="A4075" s="3"/>
      <c r="C4075" s="1"/>
      <c r="E4075" s="1"/>
      <c r="J4075" s="3"/>
      <c r="L4075" s="1"/>
    </row>
    <row r="4076" spans="1:12" x14ac:dyDescent="0.3">
      <c r="A4076" s="3"/>
      <c r="C4076" s="1"/>
      <c r="E4076" s="1"/>
      <c r="J4076" s="3"/>
      <c r="L4076" s="1"/>
    </row>
    <row r="4077" spans="1:12" x14ac:dyDescent="0.3">
      <c r="A4077" s="3"/>
      <c r="C4077" s="1"/>
      <c r="E4077" s="1"/>
      <c r="J4077" s="3"/>
      <c r="L4077" s="1"/>
    </row>
    <row r="4078" spans="1:12" x14ac:dyDescent="0.3">
      <c r="A4078" s="3"/>
      <c r="C4078" s="1"/>
      <c r="E4078" s="1"/>
      <c r="J4078" s="3"/>
      <c r="L4078" s="1"/>
    </row>
    <row r="4079" spans="1:12" x14ac:dyDescent="0.3">
      <c r="A4079" s="3"/>
      <c r="C4079" s="1"/>
      <c r="E4079" s="1"/>
      <c r="J4079" s="3"/>
      <c r="L4079" s="1"/>
    </row>
    <row r="4080" spans="1:12" x14ac:dyDescent="0.3">
      <c r="A4080" s="3"/>
      <c r="C4080" s="1"/>
      <c r="E4080" s="1"/>
      <c r="J4080" s="3"/>
      <c r="L4080" s="1"/>
    </row>
    <row r="4081" spans="1:12" x14ac:dyDescent="0.3">
      <c r="A4081" s="3"/>
      <c r="C4081" s="1"/>
      <c r="E4081" s="1"/>
      <c r="J4081" s="3"/>
      <c r="L4081" s="1"/>
    </row>
    <row r="4082" spans="1:12" x14ac:dyDescent="0.3">
      <c r="A4082" s="3"/>
      <c r="C4082" s="1"/>
      <c r="E4082" s="1"/>
      <c r="J4082" s="3"/>
      <c r="L4082" s="1"/>
    </row>
    <row r="4083" spans="1:12" x14ac:dyDescent="0.3">
      <c r="A4083" s="3"/>
      <c r="C4083" s="1"/>
      <c r="E4083" s="1"/>
      <c r="J4083" s="3"/>
      <c r="L4083" s="1"/>
    </row>
    <row r="4084" spans="1:12" x14ac:dyDescent="0.3">
      <c r="A4084" s="3"/>
      <c r="C4084" s="1"/>
      <c r="E4084" s="1"/>
      <c r="J4084" s="3"/>
      <c r="L4084" s="1"/>
    </row>
    <row r="4085" spans="1:12" x14ac:dyDescent="0.3">
      <c r="A4085" s="3"/>
      <c r="C4085" s="1"/>
      <c r="E4085" s="1"/>
      <c r="J4085" s="3"/>
      <c r="L4085" s="1"/>
    </row>
    <row r="4086" spans="1:12" x14ac:dyDescent="0.3">
      <c r="A4086" s="3"/>
      <c r="C4086" s="1"/>
      <c r="E4086" s="1"/>
      <c r="J4086" s="3"/>
      <c r="L4086" s="1"/>
    </row>
    <row r="4087" spans="1:12" x14ac:dyDescent="0.3">
      <c r="A4087" s="3"/>
      <c r="C4087" s="1"/>
      <c r="E4087" s="1"/>
      <c r="J4087" s="3"/>
      <c r="L4087" s="1"/>
    </row>
    <row r="4088" spans="1:12" x14ac:dyDescent="0.3">
      <c r="A4088" s="3"/>
      <c r="C4088" s="1"/>
      <c r="E4088" s="1"/>
      <c r="J4088" s="3"/>
      <c r="L4088" s="1"/>
    </row>
    <row r="4089" spans="1:12" x14ac:dyDescent="0.3">
      <c r="A4089" s="3"/>
      <c r="C4089" s="1"/>
      <c r="E4089" s="1"/>
      <c r="J4089" s="3"/>
      <c r="L4089" s="1"/>
    </row>
    <row r="4090" spans="1:12" x14ac:dyDescent="0.3">
      <c r="A4090" s="3"/>
      <c r="C4090" s="1"/>
      <c r="E4090" s="1"/>
      <c r="J4090" s="3"/>
      <c r="L4090" s="1"/>
    </row>
    <row r="4091" spans="1:12" x14ac:dyDescent="0.3">
      <c r="A4091" s="3"/>
      <c r="C4091" s="1"/>
      <c r="E4091" s="1"/>
      <c r="J4091" s="3"/>
      <c r="L4091" s="1"/>
    </row>
    <row r="4092" spans="1:12" x14ac:dyDescent="0.3">
      <c r="A4092" s="3"/>
      <c r="C4092" s="1"/>
      <c r="E4092" s="1"/>
      <c r="J4092" s="3"/>
      <c r="L4092" s="1"/>
    </row>
    <row r="4093" spans="1:12" x14ac:dyDescent="0.3">
      <c r="A4093" s="3"/>
      <c r="C4093" s="1"/>
      <c r="E4093" s="1"/>
      <c r="J4093" s="3"/>
      <c r="L4093" s="1"/>
    </row>
    <row r="4094" spans="1:12" x14ac:dyDescent="0.3">
      <c r="A4094" s="3"/>
      <c r="C4094" s="1"/>
      <c r="E4094" s="1"/>
      <c r="J4094" s="3"/>
      <c r="L4094" s="1"/>
    </row>
    <row r="4095" spans="1:12" x14ac:dyDescent="0.3">
      <c r="A4095" s="3"/>
      <c r="C4095" s="1"/>
      <c r="E4095" s="1"/>
      <c r="J4095" s="3"/>
      <c r="L4095" s="1"/>
    </row>
    <row r="4096" spans="1:12" x14ac:dyDescent="0.3">
      <c r="A4096" s="3"/>
      <c r="C4096" s="1"/>
      <c r="E4096" s="1"/>
      <c r="J4096" s="3"/>
      <c r="L4096" s="1"/>
    </row>
    <row r="4097" spans="1:12" x14ac:dyDescent="0.3">
      <c r="A4097" s="3"/>
      <c r="C4097" s="1"/>
      <c r="E4097" s="1"/>
      <c r="J4097" s="3"/>
      <c r="L4097" s="1"/>
    </row>
    <row r="4098" spans="1:12" x14ac:dyDescent="0.3">
      <c r="A4098" s="3"/>
      <c r="C4098" s="1"/>
      <c r="E4098" s="1"/>
      <c r="J4098" s="3"/>
      <c r="L4098" s="1"/>
    </row>
    <row r="4099" spans="1:12" x14ac:dyDescent="0.3">
      <c r="A4099" s="3"/>
      <c r="C4099" s="1"/>
      <c r="E4099" s="1"/>
      <c r="J4099" s="3"/>
      <c r="L4099" s="1"/>
    </row>
    <row r="4100" spans="1:12" x14ac:dyDescent="0.3">
      <c r="A4100" s="3"/>
      <c r="C4100" s="1"/>
      <c r="E4100" s="1"/>
      <c r="J4100" s="3"/>
      <c r="L4100" s="1"/>
    </row>
    <row r="4101" spans="1:12" x14ac:dyDescent="0.3">
      <c r="A4101" s="3"/>
      <c r="C4101" s="1"/>
      <c r="E4101" s="1"/>
      <c r="J4101" s="3"/>
      <c r="L4101" s="1"/>
    </row>
    <row r="4102" spans="1:12" x14ac:dyDescent="0.3">
      <c r="A4102" s="3"/>
      <c r="C4102" s="1"/>
      <c r="E4102" s="1"/>
      <c r="J4102" s="3"/>
      <c r="L4102" s="1"/>
    </row>
    <row r="4103" spans="1:12" x14ac:dyDescent="0.3">
      <c r="A4103" s="3"/>
      <c r="C4103" s="1"/>
      <c r="E4103" s="1"/>
      <c r="J4103" s="3"/>
      <c r="L4103" s="1"/>
    </row>
    <row r="4104" spans="1:12" x14ac:dyDescent="0.3">
      <c r="A4104" s="3"/>
      <c r="C4104" s="1"/>
      <c r="E4104" s="1"/>
      <c r="J4104" s="3"/>
      <c r="L4104" s="1"/>
    </row>
    <row r="4105" spans="1:12" x14ac:dyDescent="0.3">
      <c r="A4105" s="3"/>
      <c r="C4105" s="1"/>
      <c r="E4105" s="1"/>
      <c r="J4105" s="3"/>
      <c r="L4105" s="1"/>
    </row>
    <row r="4106" spans="1:12" x14ac:dyDescent="0.3">
      <c r="A4106" s="3"/>
      <c r="C4106" s="1"/>
      <c r="E4106" s="1"/>
      <c r="J4106" s="3"/>
      <c r="L4106" s="1"/>
    </row>
    <row r="4107" spans="1:12" x14ac:dyDescent="0.3">
      <c r="A4107" s="3"/>
      <c r="C4107" s="1"/>
      <c r="E4107" s="1"/>
      <c r="J4107" s="3"/>
      <c r="L4107" s="1"/>
    </row>
    <row r="4108" spans="1:12" x14ac:dyDescent="0.3">
      <c r="A4108" s="3"/>
      <c r="C4108" s="1"/>
      <c r="E4108" s="1"/>
      <c r="J4108" s="3"/>
      <c r="L4108" s="1"/>
    </row>
    <row r="4109" spans="1:12" x14ac:dyDescent="0.3">
      <c r="A4109" s="3"/>
      <c r="C4109" s="1"/>
      <c r="E4109" s="1"/>
      <c r="J4109" s="3"/>
      <c r="L4109" s="1"/>
    </row>
    <row r="4110" spans="1:12" x14ac:dyDescent="0.3">
      <c r="A4110" s="3"/>
      <c r="C4110" s="1"/>
      <c r="E4110" s="1"/>
      <c r="J4110" s="3"/>
      <c r="L4110" s="1"/>
    </row>
    <row r="4111" spans="1:12" x14ac:dyDescent="0.3">
      <c r="A4111" s="3"/>
      <c r="C4111" s="1"/>
      <c r="E4111" s="1"/>
      <c r="J4111" s="3"/>
      <c r="L4111" s="1"/>
    </row>
    <row r="4112" spans="1:12" x14ac:dyDescent="0.3">
      <c r="A4112" s="3"/>
      <c r="C4112" s="1"/>
      <c r="E4112" s="1"/>
      <c r="J4112" s="3"/>
      <c r="L4112" s="1"/>
    </row>
    <row r="4113" spans="1:12" x14ac:dyDescent="0.3">
      <c r="A4113" s="3"/>
      <c r="C4113" s="1"/>
      <c r="E4113" s="1"/>
      <c r="J4113" s="3"/>
      <c r="L4113" s="1"/>
    </row>
    <row r="4114" spans="1:12" x14ac:dyDescent="0.3">
      <c r="A4114" s="3"/>
      <c r="C4114" s="1"/>
      <c r="E4114" s="1"/>
      <c r="J4114" s="3"/>
      <c r="L4114" s="1"/>
    </row>
    <row r="4115" spans="1:12" x14ac:dyDescent="0.3">
      <c r="A4115" s="3"/>
      <c r="C4115" s="1"/>
      <c r="E4115" s="1"/>
      <c r="J4115" s="3"/>
      <c r="L4115" s="1"/>
    </row>
    <row r="4116" spans="1:12" x14ac:dyDescent="0.3">
      <c r="A4116" s="3"/>
      <c r="C4116" s="1"/>
      <c r="E4116" s="1"/>
      <c r="J4116" s="3"/>
      <c r="L4116" s="1"/>
    </row>
    <row r="4117" spans="1:12" x14ac:dyDescent="0.3">
      <c r="A4117" s="3"/>
      <c r="C4117" s="1"/>
      <c r="E4117" s="1"/>
      <c r="J4117" s="3"/>
      <c r="L4117" s="1"/>
    </row>
    <row r="4118" spans="1:12" x14ac:dyDescent="0.3">
      <c r="A4118" s="3"/>
      <c r="C4118" s="1"/>
      <c r="E4118" s="1"/>
      <c r="J4118" s="3"/>
      <c r="L4118" s="1"/>
    </row>
    <row r="4119" spans="1:12" x14ac:dyDescent="0.3">
      <c r="A4119" s="3"/>
      <c r="C4119" s="1"/>
      <c r="E4119" s="1"/>
      <c r="J4119" s="3"/>
      <c r="L4119" s="1"/>
    </row>
    <row r="4120" spans="1:12" x14ac:dyDescent="0.3">
      <c r="A4120" s="3"/>
      <c r="C4120" s="1"/>
      <c r="E4120" s="1"/>
      <c r="J4120" s="3"/>
      <c r="L4120" s="1"/>
    </row>
    <row r="4121" spans="1:12" x14ac:dyDescent="0.3">
      <c r="A4121" s="3"/>
      <c r="C4121" s="1"/>
      <c r="E4121" s="1"/>
      <c r="J4121" s="3"/>
      <c r="L4121" s="1"/>
    </row>
    <row r="4122" spans="1:12" x14ac:dyDescent="0.3">
      <c r="A4122" s="3"/>
      <c r="C4122" s="1"/>
      <c r="E4122" s="1"/>
      <c r="J4122" s="3"/>
      <c r="L4122" s="1"/>
    </row>
    <row r="4123" spans="1:12" x14ac:dyDescent="0.3">
      <c r="A4123" s="3"/>
      <c r="C4123" s="1"/>
      <c r="E4123" s="1"/>
      <c r="J4123" s="3"/>
      <c r="L4123" s="1"/>
    </row>
    <row r="4124" spans="1:12" x14ac:dyDescent="0.3">
      <c r="A4124" s="3"/>
      <c r="C4124" s="1"/>
      <c r="E4124" s="1"/>
      <c r="J4124" s="3"/>
      <c r="L4124" s="1"/>
    </row>
    <row r="4125" spans="1:12" x14ac:dyDescent="0.3">
      <c r="A4125" s="3"/>
      <c r="C4125" s="1"/>
      <c r="E4125" s="1"/>
      <c r="J4125" s="3"/>
      <c r="L4125" s="1"/>
    </row>
    <row r="4126" spans="1:12" x14ac:dyDescent="0.3">
      <c r="A4126" s="3"/>
      <c r="C4126" s="1"/>
      <c r="E4126" s="1"/>
      <c r="J4126" s="3"/>
      <c r="L4126" s="1"/>
    </row>
    <row r="4127" spans="1:12" x14ac:dyDescent="0.3">
      <c r="A4127" s="3"/>
      <c r="C4127" s="1"/>
      <c r="E4127" s="1"/>
      <c r="J4127" s="3"/>
      <c r="L4127" s="1"/>
    </row>
    <row r="4128" spans="1:12" x14ac:dyDescent="0.3">
      <c r="A4128" s="3"/>
      <c r="C4128" s="1"/>
      <c r="E4128" s="1"/>
      <c r="J4128" s="3"/>
      <c r="L4128" s="1"/>
    </row>
    <row r="4129" spans="1:12" x14ac:dyDescent="0.3">
      <c r="A4129" s="3"/>
      <c r="C4129" s="1"/>
      <c r="E4129" s="1"/>
      <c r="J4129" s="3"/>
      <c r="L4129" s="1"/>
    </row>
    <row r="4130" spans="1:12" x14ac:dyDescent="0.3">
      <c r="A4130" s="3"/>
      <c r="C4130" s="1"/>
      <c r="E4130" s="1"/>
      <c r="J4130" s="3"/>
      <c r="L4130" s="1"/>
    </row>
    <row r="4131" spans="1:12" x14ac:dyDescent="0.3">
      <c r="A4131" s="3"/>
      <c r="C4131" s="1"/>
      <c r="E4131" s="1"/>
      <c r="J4131" s="3"/>
      <c r="L4131" s="1"/>
    </row>
    <row r="4132" spans="1:12" x14ac:dyDescent="0.3">
      <c r="A4132" s="3"/>
      <c r="C4132" s="1"/>
      <c r="E4132" s="1"/>
      <c r="J4132" s="3"/>
      <c r="L4132" s="1"/>
    </row>
    <row r="4133" spans="1:12" x14ac:dyDescent="0.3">
      <c r="A4133" s="3"/>
      <c r="C4133" s="1"/>
      <c r="E4133" s="1"/>
      <c r="J4133" s="3"/>
      <c r="L4133" s="1"/>
    </row>
    <row r="4134" spans="1:12" x14ac:dyDescent="0.3">
      <c r="A4134" s="3"/>
      <c r="C4134" s="1"/>
      <c r="E4134" s="1"/>
      <c r="J4134" s="3"/>
      <c r="L4134" s="1"/>
    </row>
    <row r="4135" spans="1:12" x14ac:dyDescent="0.3">
      <c r="A4135" s="3"/>
      <c r="C4135" s="1"/>
      <c r="E4135" s="1"/>
      <c r="J4135" s="3"/>
      <c r="L4135" s="1"/>
    </row>
    <row r="4136" spans="1:12" x14ac:dyDescent="0.3">
      <c r="A4136" s="3"/>
      <c r="C4136" s="1"/>
      <c r="E4136" s="1"/>
      <c r="J4136" s="3"/>
      <c r="L4136" s="1"/>
    </row>
    <row r="4137" spans="1:12" x14ac:dyDescent="0.3">
      <c r="A4137" s="3"/>
      <c r="C4137" s="1"/>
      <c r="E4137" s="1"/>
      <c r="J4137" s="3"/>
      <c r="L4137" s="1"/>
    </row>
    <row r="4138" spans="1:12" x14ac:dyDescent="0.3">
      <c r="A4138" s="3"/>
      <c r="C4138" s="1"/>
      <c r="E4138" s="1"/>
      <c r="J4138" s="3"/>
      <c r="L4138" s="1"/>
    </row>
    <row r="4139" spans="1:12" x14ac:dyDescent="0.3">
      <c r="A4139" s="3"/>
      <c r="C4139" s="1"/>
      <c r="E4139" s="1"/>
      <c r="J4139" s="3"/>
      <c r="L4139" s="1"/>
    </row>
    <row r="4140" spans="1:12" x14ac:dyDescent="0.3">
      <c r="A4140" s="3"/>
      <c r="C4140" s="1"/>
      <c r="E4140" s="1"/>
      <c r="J4140" s="3"/>
      <c r="L4140" s="1"/>
    </row>
    <row r="4141" spans="1:12" x14ac:dyDescent="0.3">
      <c r="A4141" s="3"/>
      <c r="C4141" s="1"/>
      <c r="E4141" s="1"/>
      <c r="J4141" s="3"/>
      <c r="L4141" s="1"/>
    </row>
    <row r="4142" spans="1:12" x14ac:dyDescent="0.3">
      <c r="A4142" s="3"/>
      <c r="C4142" s="1"/>
      <c r="E4142" s="1"/>
      <c r="J4142" s="3"/>
      <c r="L4142" s="1"/>
    </row>
    <row r="4143" spans="1:12" x14ac:dyDescent="0.3">
      <c r="A4143" s="3"/>
      <c r="C4143" s="1"/>
      <c r="E4143" s="1"/>
      <c r="J4143" s="3"/>
      <c r="L4143" s="1"/>
    </row>
    <row r="4144" spans="1:12" x14ac:dyDescent="0.3">
      <c r="A4144" s="3"/>
      <c r="C4144" s="1"/>
      <c r="E4144" s="1"/>
      <c r="J4144" s="3"/>
      <c r="L4144" s="1"/>
    </row>
    <row r="4145" spans="1:12" x14ac:dyDescent="0.3">
      <c r="A4145" s="3"/>
      <c r="C4145" s="1"/>
      <c r="E4145" s="1"/>
      <c r="J4145" s="3"/>
      <c r="L4145" s="1"/>
    </row>
    <row r="4146" spans="1:12" x14ac:dyDescent="0.3">
      <c r="A4146" s="3"/>
      <c r="C4146" s="1"/>
      <c r="E4146" s="1"/>
      <c r="J4146" s="3"/>
      <c r="L4146" s="1"/>
    </row>
    <row r="4147" spans="1:12" x14ac:dyDescent="0.3">
      <c r="A4147" s="3"/>
      <c r="C4147" s="1"/>
      <c r="E4147" s="1"/>
      <c r="J4147" s="3"/>
      <c r="L4147" s="1"/>
    </row>
    <row r="4148" spans="1:12" x14ac:dyDescent="0.3">
      <c r="A4148" s="3"/>
      <c r="C4148" s="1"/>
      <c r="E4148" s="1"/>
      <c r="J4148" s="3"/>
      <c r="L4148" s="1"/>
    </row>
    <row r="4149" spans="1:12" x14ac:dyDescent="0.3">
      <c r="A4149" s="3"/>
      <c r="C4149" s="1"/>
      <c r="E4149" s="1"/>
      <c r="J4149" s="3"/>
      <c r="L4149" s="1"/>
    </row>
    <row r="4150" spans="1:12" x14ac:dyDescent="0.3">
      <c r="A4150" s="3"/>
      <c r="C4150" s="1"/>
      <c r="E4150" s="1"/>
      <c r="J4150" s="3"/>
      <c r="L4150" s="1"/>
    </row>
    <row r="4151" spans="1:12" x14ac:dyDescent="0.3">
      <c r="A4151" s="3"/>
      <c r="C4151" s="1"/>
      <c r="E4151" s="1"/>
      <c r="J4151" s="3"/>
      <c r="L4151" s="1"/>
    </row>
    <row r="4152" spans="1:12" x14ac:dyDescent="0.3">
      <c r="A4152" s="3"/>
      <c r="C4152" s="1"/>
      <c r="E4152" s="1"/>
      <c r="J4152" s="3"/>
      <c r="L4152" s="1"/>
    </row>
    <row r="4153" spans="1:12" x14ac:dyDescent="0.3">
      <c r="A4153" s="3"/>
      <c r="C4153" s="1"/>
      <c r="E4153" s="1"/>
      <c r="J4153" s="3"/>
      <c r="L4153" s="1"/>
    </row>
    <row r="4154" spans="1:12" x14ac:dyDescent="0.3">
      <c r="A4154" s="3"/>
      <c r="C4154" s="1"/>
      <c r="E4154" s="1"/>
      <c r="J4154" s="3"/>
      <c r="L4154" s="1"/>
    </row>
    <row r="4155" spans="1:12" x14ac:dyDescent="0.3">
      <c r="A4155" s="3"/>
      <c r="C4155" s="1"/>
      <c r="E4155" s="1"/>
      <c r="J4155" s="3"/>
      <c r="L4155" s="1"/>
    </row>
    <row r="4156" spans="1:12" x14ac:dyDescent="0.3">
      <c r="A4156" s="3"/>
      <c r="C4156" s="1"/>
      <c r="E4156" s="1"/>
      <c r="J4156" s="3"/>
      <c r="L4156" s="1"/>
    </row>
    <row r="4157" spans="1:12" x14ac:dyDescent="0.3">
      <c r="A4157" s="3"/>
      <c r="C4157" s="1"/>
      <c r="E4157" s="1"/>
      <c r="J4157" s="3"/>
      <c r="L4157" s="1"/>
    </row>
    <row r="4158" spans="1:12" x14ac:dyDescent="0.3">
      <c r="A4158" s="3"/>
      <c r="C4158" s="1"/>
      <c r="E4158" s="1"/>
      <c r="J4158" s="3"/>
      <c r="L4158" s="1"/>
    </row>
    <row r="4159" spans="1:12" x14ac:dyDescent="0.3">
      <c r="A4159" s="3"/>
      <c r="C4159" s="1"/>
      <c r="E4159" s="1"/>
      <c r="J4159" s="3"/>
      <c r="L4159" s="1"/>
    </row>
    <row r="4160" spans="1:12" x14ac:dyDescent="0.3">
      <c r="A4160" s="3"/>
      <c r="C4160" s="1"/>
      <c r="E4160" s="1"/>
      <c r="J4160" s="3"/>
      <c r="L4160" s="1"/>
    </row>
    <row r="4161" spans="1:12" x14ac:dyDescent="0.3">
      <c r="A4161" s="3"/>
      <c r="C4161" s="1"/>
      <c r="E4161" s="1"/>
      <c r="J4161" s="3"/>
      <c r="L4161" s="1"/>
    </row>
    <row r="4162" spans="1:12" x14ac:dyDescent="0.3">
      <c r="A4162" s="3"/>
      <c r="C4162" s="1"/>
      <c r="E4162" s="1"/>
      <c r="J4162" s="3"/>
      <c r="L4162" s="1"/>
    </row>
    <row r="4163" spans="1:12" x14ac:dyDescent="0.3">
      <c r="A4163" s="3"/>
      <c r="C4163" s="1"/>
      <c r="E4163" s="1"/>
      <c r="J4163" s="3"/>
      <c r="L4163" s="1"/>
    </row>
    <row r="4164" spans="1:12" x14ac:dyDescent="0.3">
      <c r="A4164" s="3"/>
      <c r="C4164" s="1"/>
      <c r="E4164" s="1"/>
      <c r="J4164" s="3"/>
      <c r="L4164" s="1"/>
    </row>
    <row r="4165" spans="1:12" x14ac:dyDescent="0.3">
      <c r="A4165" s="3"/>
      <c r="C4165" s="1"/>
      <c r="E4165" s="1"/>
      <c r="J4165" s="3"/>
      <c r="L4165" s="1"/>
    </row>
    <row r="4166" spans="1:12" x14ac:dyDescent="0.3">
      <c r="A4166" s="3"/>
      <c r="C4166" s="1"/>
      <c r="E4166" s="1"/>
      <c r="J4166" s="3"/>
      <c r="L4166" s="1"/>
    </row>
    <row r="4167" spans="1:12" x14ac:dyDescent="0.3">
      <c r="A4167" s="3"/>
      <c r="C4167" s="1"/>
      <c r="E4167" s="1"/>
      <c r="J4167" s="3"/>
      <c r="L4167" s="1"/>
    </row>
    <row r="4168" spans="1:12" x14ac:dyDescent="0.3">
      <c r="A4168" s="3"/>
      <c r="C4168" s="1"/>
      <c r="E4168" s="1"/>
      <c r="J4168" s="3"/>
      <c r="L4168" s="1"/>
    </row>
    <row r="4169" spans="1:12" x14ac:dyDescent="0.3">
      <c r="A4169" s="3"/>
      <c r="C4169" s="1"/>
      <c r="E4169" s="1"/>
      <c r="J4169" s="3"/>
      <c r="L4169" s="1"/>
    </row>
    <row r="4170" spans="1:12" x14ac:dyDescent="0.3">
      <c r="A4170" s="3"/>
      <c r="C4170" s="1"/>
      <c r="E4170" s="1"/>
      <c r="J4170" s="3"/>
      <c r="L4170" s="1"/>
    </row>
    <row r="4171" spans="1:12" x14ac:dyDescent="0.3">
      <c r="A4171" s="3"/>
      <c r="C4171" s="1"/>
      <c r="E4171" s="1"/>
      <c r="J4171" s="3"/>
      <c r="L4171" s="1"/>
    </row>
    <row r="4172" spans="1:12" x14ac:dyDescent="0.3">
      <c r="A4172" s="3"/>
      <c r="C4172" s="1"/>
      <c r="E4172" s="1"/>
      <c r="J4172" s="3"/>
      <c r="L4172" s="1"/>
    </row>
    <row r="4173" spans="1:12" x14ac:dyDescent="0.3">
      <c r="A4173" s="3"/>
      <c r="C4173" s="1"/>
      <c r="E4173" s="1"/>
      <c r="J4173" s="3"/>
      <c r="L4173" s="1"/>
    </row>
    <row r="4174" spans="1:12" x14ac:dyDescent="0.3">
      <c r="A4174" s="3"/>
      <c r="C4174" s="1"/>
      <c r="E4174" s="1"/>
      <c r="J4174" s="3"/>
      <c r="L4174" s="1"/>
    </row>
    <row r="4175" spans="1:12" x14ac:dyDescent="0.3">
      <c r="A4175" s="3"/>
      <c r="C4175" s="1"/>
      <c r="E4175" s="1"/>
      <c r="J4175" s="3"/>
      <c r="L4175" s="1"/>
    </row>
    <row r="4176" spans="1:12" x14ac:dyDescent="0.3">
      <c r="A4176" s="3"/>
      <c r="C4176" s="1"/>
      <c r="E4176" s="1"/>
      <c r="J4176" s="3"/>
      <c r="L4176" s="1"/>
    </row>
    <row r="4177" spans="1:12" x14ac:dyDescent="0.3">
      <c r="A4177" s="3"/>
      <c r="C4177" s="1"/>
      <c r="E4177" s="1"/>
      <c r="J4177" s="3"/>
      <c r="L4177" s="1"/>
    </row>
    <row r="4178" spans="1:12" x14ac:dyDescent="0.3">
      <c r="A4178" s="3"/>
      <c r="C4178" s="1"/>
      <c r="E4178" s="1"/>
      <c r="J4178" s="3"/>
      <c r="L4178" s="1"/>
    </row>
    <row r="4179" spans="1:12" x14ac:dyDescent="0.3">
      <c r="A4179" s="3"/>
      <c r="C4179" s="1"/>
      <c r="E4179" s="1"/>
      <c r="J4179" s="3"/>
      <c r="L4179" s="1"/>
    </row>
    <row r="4180" spans="1:12" x14ac:dyDescent="0.3">
      <c r="A4180" s="3"/>
      <c r="C4180" s="1"/>
      <c r="E4180" s="1"/>
      <c r="J4180" s="3"/>
      <c r="L4180" s="1"/>
    </row>
    <row r="4181" spans="1:12" x14ac:dyDescent="0.3">
      <c r="A4181" s="3"/>
      <c r="C4181" s="1"/>
      <c r="E4181" s="1"/>
      <c r="J4181" s="3"/>
      <c r="L4181" s="1"/>
    </row>
    <row r="4182" spans="1:12" x14ac:dyDescent="0.3">
      <c r="A4182" s="3"/>
      <c r="C4182" s="1"/>
      <c r="E4182" s="1"/>
      <c r="J4182" s="3"/>
      <c r="L4182" s="1"/>
    </row>
    <row r="4183" spans="1:12" x14ac:dyDescent="0.3">
      <c r="A4183" s="3"/>
      <c r="C4183" s="1"/>
      <c r="E4183" s="1"/>
      <c r="J4183" s="3"/>
      <c r="L4183" s="1"/>
    </row>
    <row r="4184" spans="1:12" x14ac:dyDescent="0.3">
      <c r="A4184" s="3"/>
      <c r="C4184" s="1"/>
      <c r="E4184" s="1"/>
      <c r="J4184" s="3"/>
      <c r="L4184" s="1"/>
    </row>
    <row r="4185" spans="1:12" x14ac:dyDescent="0.3">
      <c r="A4185" s="3"/>
      <c r="C4185" s="1"/>
      <c r="E4185" s="1"/>
      <c r="J4185" s="3"/>
      <c r="L4185" s="1"/>
    </row>
    <row r="4186" spans="1:12" x14ac:dyDescent="0.3">
      <c r="A4186" s="3"/>
      <c r="C4186" s="1"/>
      <c r="E4186" s="1"/>
      <c r="J4186" s="3"/>
      <c r="L4186" s="1"/>
    </row>
    <row r="4187" spans="1:12" x14ac:dyDescent="0.3">
      <c r="A4187" s="3"/>
      <c r="C4187" s="1"/>
      <c r="E4187" s="1"/>
      <c r="J4187" s="3"/>
      <c r="L4187" s="1"/>
    </row>
    <row r="4188" spans="1:12" x14ac:dyDescent="0.3">
      <c r="A4188" s="3"/>
      <c r="C4188" s="1"/>
      <c r="E4188" s="1"/>
      <c r="J4188" s="3"/>
      <c r="L4188" s="1"/>
    </row>
    <row r="4189" spans="1:12" x14ac:dyDescent="0.3">
      <c r="A4189" s="3"/>
      <c r="C4189" s="1"/>
      <c r="E4189" s="1"/>
      <c r="J4189" s="3"/>
      <c r="L4189" s="1"/>
    </row>
    <row r="4190" spans="1:12" x14ac:dyDescent="0.3">
      <c r="A4190" s="3"/>
      <c r="C4190" s="1"/>
      <c r="E4190" s="1"/>
      <c r="J4190" s="3"/>
      <c r="L4190" s="1"/>
    </row>
    <row r="4191" spans="1:12" x14ac:dyDescent="0.3">
      <c r="A4191" s="3"/>
      <c r="C4191" s="1"/>
      <c r="E4191" s="1"/>
      <c r="J4191" s="3"/>
      <c r="L4191" s="1"/>
    </row>
    <row r="4192" spans="1:12" x14ac:dyDescent="0.3">
      <c r="A4192" s="3"/>
      <c r="C4192" s="1"/>
      <c r="E4192" s="1"/>
      <c r="J4192" s="3"/>
      <c r="L4192" s="1"/>
    </row>
    <row r="4193" spans="1:12" x14ac:dyDescent="0.3">
      <c r="A4193" s="3"/>
      <c r="C4193" s="1"/>
      <c r="E4193" s="1"/>
      <c r="J4193" s="3"/>
      <c r="L4193" s="1"/>
    </row>
    <row r="4194" spans="1:12" x14ac:dyDescent="0.3">
      <c r="A4194" s="3"/>
      <c r="C4194" s="1"/>
      <c r="E4194" s="1"/>
      <c r="J4194" s="3"/>
      <c r="L4194" s="1"/>
    </row>
    <row r="4195" spans="1:12" x14ac:dyDescent="0.3">
      <c r="A4195" s="3"/>
      <c r="C4195" s="1"/>
      <c r="E4195" s="1"/>
      <c r="J4195" s="3"/>
      <c r="L4195" s="1"/>
    </row>
    <row r="4196" spans="1:12" x14ac:dyDescent="0.3">
      <c r="A4196" s="3"/>
      <c r="C4196" s="1"/>
      <c r="E4196" s="1"/>
      <c r="J4196" s="3"/>
      <c r="L4196" s="1"/>
    </row>
    <row r="4197" spans="1:12" x14ac:dyDescent="0.3">
      <c r="A4197" s="3"/>
      <c r="C4197" s="1"/>
      <c r="E4197" s="1"/>
      <c r="J4197" s="3"/>
      <c r="L4197" s="1"/>
    </row>
    <row r="4198" spans="1:12" x14ac:dyDescent="0.3">
      <c r="A4198" s="3"/>
      <c r="C4198" s="1"/>
      <c r="E4198" s="1"/>
      <c r="J4198" s="3"/>
      <c r="L4198" s="1"/>
    </row>
    <row r="4199" spans="1:12" x14ac:dyDescent="0.3">
      <c r="A4199" s="3"/>
      <c r="C4199" s="1"/>
      <c r="E4199" s="1"/>
      <c r="J4199" s="3"/>
      <c r="L4199" s="1"/>
    </row>
    <row r="4200" spans="1:12" x14ac:dyDescent="0.3">
      <c r="A4200" s="3"/>
      <c r="C4200" s="1"/>
      <c r="E4200" s="1"/>
      <c r="J4200" s="3"/>
      <c r="L4200" s="1"/>
    </row>
    <row r="4201" spans="1:12" x14ac:dyDescent="0.3">
      <c r="A4201" s="3"/>
      <c r="C4201" s="1"/>
      <c r="E4201" s="1"/>
      <c r="J4201" s="3"/>
      <c r="L4201" s="1"/>
    </row>
    <row r="4202" spans="1:12" x14ac:dyDescent="0.3">
      <c r="A4202" s="3"/>
      <c r="C4202" s="1"/>
      <c r="E4202" s="1"/>
      <c r="J4202" s="3"/>
      <c r="L4202" s="1"/>
    </row>
    <row r="4203" spans="1:12" x14ac:dyDescent="0.3">
      <c r="A4203" s="3"/>
      <c r="C4203" s="1"/>
      <c r="E4203" s="1"/>
      <c r="J4203" s="3"/>
      <c r="L4203" s="1"/>
    </row>
    <row r="4204" spans="1:12" x14ac:dyDescent="0.3">
      <c r="A4204" s="3"/>
      <c r="C4204" s="1"/>
      <c r="E4204" s="1"/>
      <c r="J4204" s="3"/>
      <c r="L4204" s="1"/>
    </row>
    <row r="4205" spans="1:12" x14ac:dyDescent="0.3">
      <c r="A4205" s="3"/>
      <c r="C4205" s="1"/>
      <c r="E4205" s="1"/>
      <c r="J4205" s="3"/>
      <c r="L4205" s="1"/>
    </row>
    <row r="4206" spans="1:12" x14ac:dyDescent="0.3">
      <c r="A4206" s="3"/>
      <c r="C4206" s="1"/>
      <c r="E4206" s="1"/>
      <c r="J4206" s="3"/>
      <c r="L4206" s="1"/>
    </row>
    <row r="4207" spans="1:12" x14ac:dyDescent="0.3">
      <c r="A4207" s="3"/>
      <c r="C4207" s="1"/>
      <c r="E4207" s="1"/>
      <c r="J4207" s="3"/>
      <c r="L4207" s="1"/>
    </row>
    <row r="4208" spans="1:12" x14ac:dyDescent="0.3">
      <c r="A4208" s="3"/>
      <c r="C4208" s="1"/>
      <c r="E4208" s="1"/>
      <c r="J4208" s="3"/>
      <c r="L4208" s="1"/>
    </row>
    <row r="4209" spans="1:12" x14ac:dyDescent="0.3">
      <c r="A4209" s="3"/>
      <c r="C4209" s="1"/>
      <c r="E4209" s="1"/>
      <c r="J4209" s="3"/>
      <c r="L4209" s="1"/>
    </row>
    <row r="4210" spans="1:12" x14ac:dyDescent="0.3">
      <c r="A4210" s="3"/>
      <c r="C4210" s="1"/>
      <c r="E4210" s="1"/>
      <c r="J4210" s="3"/>
      <c r="L4210" s="1"/>
    </row>
    <row r="4211" spans="1:12" x14ac:dyDescent="0.3">
      <c r="A4211" s="3"/>
      <c r="C4211" s="1"/>
      <c r="E4211" s="1"/>
      <c r="J4211" s="3"/>
      <c r="L4211" s="1"/>
    </row>
    <row r="4212" spans="1:12" x14ac:dyDescent="0.3">
      <c r="A4212" s="3"/>
      <c r="C4212" s="1"/>
      <c r="E4212" s="1"/>
      <c r="J4212" s="3"/>
      <c r="L4212" s="1"/>
    </row>
    <row r="4213" spans="1:12" x14ac:dyDescent="0.3">
      <c r="A4213" s="3"/>
      <c r="C4213" s="1"/>
      <c r="E4213" s="1"/>
      <c r="J4213" s="3"/>
      <c r="L4213" s="1"/>
    </row>
    <row r="4214" spans="1:12" x14ac:dyDescent="0.3">
      <c r="A4214" s="3"/>
      <c r="C4214" s="1"/>
      <c r="E4214" s="1"/>
      <c r="J4214" s="3"/>
      <c r="L4214" s="1"/>
    </row>
    <row r="4215" spans="1:12" x14ac:dyDescent="0.3">
      <c r="A4215" s="3"/>
      <c r="C4215" s="1"/>
      <c r="E4215" s="1"/>
      <c r="J4215" s="3"/>
      <c r="L4215" s="1"/>
    </row>
    <row r="4216" spans="1:12" x14ac:dyDescent="0.3">
      <c r="A4216" s="3"/>
      <c r="C4216" s="1"/>
      <c r="E4216" s="1"/>
      <c r="J4216" s="3"/>
      <c r="L4216" s="1"/>
    </row>
    <row r="4217" spans="1:12" x14ac:dyDescent="0.3">
      <c r="A4217" s="3"/>
      <c r="C4217" s="1"/>
      <c r="E4217" s="1"/>
      <c r="J4217" s="3"/>
      <c r="L4217" s="1"/>
    </row>
    <row r="4218" spans="1:12" x14ac:dyDescent="0.3">
      <c r="A4218" s="3"/>
      <c r="C4218" s="1"/>
      <c r="E4218" s="1"/>
      <c r="J4218" s="3"/>
      <c r="L4218" s="1"/>
    </row>
    <row r="4219" spans="1:12" x14ac:dyDescent="0.3">
      <c r="A4219" s="3"/>
      <c r="C4219" s="1"/>
      <c r="E4219" s="1"/>
      <c r="J4219" s="3"/>
      <c r="L4219" s="1"/>
    </row>
    <row r="4220" spans="1:12" x14ac:dyDescent="0.3">
      <c r="A4220" s="3"/>
      <c r="C4220" s="1"/>
      <c r="E4220" s="1"/>
      <c r="J4220" s="3"/>
      <c r="L4220" s="1"/>
    </row>
    <row r="4221" spans="1:12" x14ac:dyDescent="0.3">
      <c r="A4221" s="3"/>
      <c r="C4221" s="1"/>
      <c r="E4221" s="1"/>
      <c r="J4221" s="3"/>
      <c r="L4221" s="1"/>
    </row>
    <row r="4222" spans="1:12" x14ac:dyDescent="0.3">
      <c r="A4222" s="3"/>
      <c r="C4222" s="1"/>
      <c r="E4222" s="1"/>
      <c r="J4222" s="3"/>
      <c r="L4222" s="1"/>
    </row>
    <row r="4223" spans="1:12" x14ac:dyDescent="0.3">
      <c r="A4223" s="3"/>
      <c r="C4223" s="1"/>
      <c r="E4223" s="1"/>
      <c r="J4223" s="3"/>
      <c r="L4223" s="1"/>
    </row>
    <row r="4224" spans="1:12" x14ac:dyDescent="0.3">
      <c r="A4224" s="3"/>
      <c r="C4224" s="1"/>
      <c r="E4224" s="1"/>
      <c r="J4224" s="3"/>
      <c r="L4224" s="1"/>
    </row>
    <row r="4225" spans="1:12" x14ac:dyDescent="0.3">
      <c r="A4225" s="3"/>
      <c r="C4225" s="1"/>
      <c r="E4225" s="1"/>
      <c r="J4225" s="3"/>
      <c r="L4225" s="1"/>
    </row>
    <row r="4226" spans="1:12" x14ac:dyDescent="0.3">
      <c r="A4226" s="3"/>
      <c r="C4226" s="1"/>
      <c r="E4226" s="1"/>
      <c r="J4226" s="3"/>
      <c r="L4226" s="1"/>
    </row>
    <row r="4227" spans="1:12" x14ac:dyDescent="0.3">
      <c r="A4227" s="3"/>
      <c r="C4227" s="1"/>
      <c r="E4227" s="1"/>
      <c r="J4227" s="3"/>
      <c r="L4227" s="1"/>
    </row>
    <row r="4228" spans="1:12" x14ac:dyDescent="0.3">
      <c r="A4228" s="3"/>
      <c r="C4228" s="1"/>
      <c r="E4228" s="1"/>
      <c r="J4228" s="3"/>
      <c r="L4228" s="1"/>
    </row>
    <row r="4229" spans="1:12" x14ac:dyDescent="0.3">
      <c r="A4229" s="3"/>
      <c r="C4229" s="1"/>
      <c r="E4229" s="1"/>
      <c r="J4229" s="3"/>
      <c r="L4229" s="1"/>
    </row>
    <row r="4230" spans="1:12" x14ac:dyDescent="0.3">
      <c r="A4230" s="3"/>
      <c r="C4230" s="1"/>
      <c r="E4230" s="1"/>
      <c r="J4230" s="3"/>
      <c r="L4230" s="1"/>
    </row>
    <row r="4231" spans="1:12" x14ac:dyDescent="0.3">
      <c r="A4231" s="3"/>
      <c r="C4231" s="1"/>
      <c r="E4231" s="1"/>
      <c r="J4231" s="3"/>
      <c r="L4231" s="1"/>
    </row>
    <row r="4232" spans="1:12" x14ac:dyDescent="0.3">
      <c r="A4232" s="3"/>
      <c r="C4232" s="1"/>
      <c r="E4232" s="1"/>
      <c r="J4232" s="3"/>
      <c r="L4232" s="1"/>
    </row>
    <row r="4233" spans="1:12" x14ac:dyDescent="0.3">
      <c r="A4233" s="3"/>
      <c r="C4233" s="1"/>
      <c r="E4233" s="1"/>
      <c r="J4233" s="3"/>
      <c r="L4233" s="1"/>
    </row>
    <row r="4234" spans="1:12" x14ac:dyDescent="0.3">
      <c r="A4234" s="3"/>
      <c r="C4234" s="1"/>
      <c r="E4234" s="1"/>
      <c r="J4234" s="3"/>
      <c r="L4234" s="1"/>
    </row>
    <row r="4235" spans="1:12" x14ac:dyDescent="0.3">
      <c r="A4235" s="3"/>
      <c r="C4235" s="1"/>
      <c r="E4235" s="1"/>
      <c r="J4235" s="3"/>
      <c r="L4235" s="1"/>
    </row>
    <row r="4236" spans="1:12" x14ac:dyDescent="0.3">
      <c r="A4236" s="3"/>
      <c r="C4236" s="1"/>
      <c r="E4236" s="1"/>
      <c r="J4236" s="3"/>
      <c r="L4236" s="1"/>
    </row>
    <row r="4237" spans="1:12" x14ac:dyDescent="0.3">
      <c r="A4237" s="3"/>
      <c r="C4237" s="1"/>
      <c r="E4237" s="1"/>
      <c r="J4237" s="3"/>
      <c r="L4237" s="1"/>
    </row>
    <row r="4238" spans="1:12" x14ac:dyDescent="0.3">
      <c r="A4238" s="3"/>
      <c r="C4238" s="1"/>
      <c r="E4238" s="1"/>
      <c r="J4238" s="3"/>
      <c r="L4238" s="1"/>
    </row>
    <row r="4239" spans="1:12" x14ac:dyDescent="0.3">
      <c r="A4239" s="3"/>
      <c r="C4239" s="1"/>
      <c r="E4239" s="1"/>
      <c r="J4239" s="3"/>
      <c r="L4239" s="1"/>
    </row>
    <row r="4240" spans="1:12" x14ac:dyDescent="0.3">
      <c r="A4240" s="3"/>
      <c r="C4240" s="1"/>
      <c r="E4240" s="1"/>
      <c r="J4240" s="3"/>
      <c r="L4240" s="1"/>
    </row>
    <row r="4241" spans="1:12" x14ac:dyDescent="0.3">
      <c r="A4241" s="3"/>
      <c r="C4241" s="1"/>
      <c r="E4241" s="1"/>
      <c r="J4241" s="3"/>
      <c r="L4241" s="1"/>
    </row>
    <row r="4242" spans="1:12" x14ac:dyDescent="0.3">
      <c r="A4242" s="3"/>
      <c r="C4242" s="1"/>
      <c r="E4242" s="1"/>
      <c r="J4242" s="3"/>
      <c r="L4242" s="1"/>
    </row>
    <row r="4243" spans="1:12" x14ac:dyDescent="0.3">
      <c r="A4243" s="3"/>
      <c r="C4243" s="1"/>
      <c r="E4243" s="1"/>
      <c r="J4243" s="3"/>
      <c r="L4243" s="1"/>
    </row>
    <row r="4244" spans="1:12" x14ac:dyDescent="0.3">
      <c r="A4244" s="3"/>
      <c r="C4244" s="1"/>
      <c r="E4244" s="1"/>
      <c r="J4244" s="3"/>
      <c r="L4244" s="1"/>
    </row>
    <row r="4245" spans="1:12" x14ac:dyDescent="0.3">
      <c r="A4245" s="3"/>
      <c r="C4245" s="1"/>
      <c r="E4245" s="1"/>
      <c r="J4245" s="3"/>
      <c r="L4245" s="1"/>
    </row>
    <row r="4246" spans="1:12" x14ac:dyDescent="0.3">
      <c r="A4246" s="3"/>
      <c r="C4246" s="1"/>
      <c r="E4246" s="1"/>
      <c r="J4246" s="3"/>
      <c r="L4246" s="1"/>
    </row>
    <row r="4247" spans="1:12" x14ac:dyDescent="0.3">
      <c r="A4247" s="3"/>
      <c r="C4247" s="1"/>
      <c r="E4247" s="1"/>
      <c r="J4247" s="3"/>
      <c r="L4247" s="1"/>
    </row>
    <row r="4248" spans="1:12" x14ac:dyDescent="0.3">
      <c r="A4248" s="3"/>
      <c r="C4248" s="1"/>
      <c r="E4248" s="1"/>
      <c r="J4248" s="3"/>
      <c r="L4248" s="1"/>
    </row>
    <row r="4249" spans="1:12" x14ac:dyDescent="0.3">
      <c r="A4249" s="3"/>
      <c r="C4249" s="1"/>
      <c r="E4249" s="1"/>
      <c r="J4249" s="3"/>
      <c r="L4249" s="1"/>
    </row>
    <row r="4250" spans="1:12" x14ac:dyDescent="0.3">
      <c r="A4250" s="3"/>
      <c r="C4250" s="1"/>
      <c r="E4250" s="1"/>
      <c r="J4250" s="3"/>
      <c r="L4250" s="1"/>
    </row>
    <row r="4251" spans="1:12" x14ac:dyDescent="0.3">
      <c r="A4251" s="3"/>
      <c r="C4251" s="1"/>
      <c r="E4251" s="1"/>
      <c r="J4251" s="3"/>
      <c r="L4251" s="1"/>
    </row>
    <row r="4252" spans="1:12" x14ac:dyDescent="0.3">
      <c r="A4252" s="3"/>
      <c r="C4252" s="1"/>
      <c r="E4252" s="1"/>
      <c r="J4252" s="3"/>
      <c r="L4252" s="1"/>
    </row>
    <row r="4253" spans="1:12" x14ac:dyDescent="0.3">
      <c r="A4253" s="3"/>
      <c r="C4253" s="1"/>
      <c r="E4253" s="1"/>
      <c r="J4253" s="3"/>
      <c r="L4253" s="1"/>
    </row>
    <row r="4254" spans="1:12" x14ac:dyDescent="0.3">
      <c r="A4254" s="3"/>
      <c r="C4254" s="1"/>
      <c r="E4254" s="1"/>
      <c r="J4254" s="3"/>
      <c r="L4254" s="1"/>
    </row>
    <row r="4255" spans="1:12" x14ac:dyDescent="0.3">
      <c r="A4255" s="3"/>
      <c r="C4255" s="1"/>
      <c r="E4255" s="1"/>
      <c r="J4255" s="3"/>
      <c r="L4255" s="1"/>
    </row>
    <row r="4256" spans="1:12" x14ac:dyDescent="0.3">
      <c r="A4256" s="3"/>
      <c r="C4256" s="1"/>
      <c r="E4256" s="1"/>
      <c r="J4256" s="3"/>
      <c r="L4256" s="1"/>
    </row>
    <row r="4257" spans="1:12" x14ac:dyDescent="0.3">
      <c r="A4257" s="3"/>
      <c r="C4257" s="1"/>
      <c r="E4257" s="1"/>
      <c r="J4257" s="3"/>
      <c r="L4257" s="1"/>
    </row>
    <row r="4258" spans="1:12" x14ac:dyDescent="0.3">
      <c r="A4258" s="3"/>
      <c r="C4258" s="1"/>
      <c r="E4258" s="1"/>
      <c r="J4258" s="3"/>
      <c r="L4258" s="1"/>
    </row>
    <row r="4259" spans="1:12" x14ac:dyDescent="0.3">
      <c r="A4259" s="3"/>
      <c r="C4259" s="1"/>
      <c r="E4259" s="1"/>
      <c r="J4259" s="3"/>
      <c r="L4259" s="1"/>
    </row>
    <row r="4260" spans="1:12" x14ac:dyDescent="0.3">
      <c r="A4260" s="3"/>
      <c r="C4260" s="1"/>
      <c r="E4260" s="1"/>
      <c r="J4260" s="3"/>
      <c r="L4260" s="1"/>
    </row>
    <row r="4261" spans="1:12" x14ac:dyDescent="0.3">
      <c r="A4261" s="3"/>
      <c r="C4261" s="1"/>
      <c r="E4261" s="1"/>
      <c r="J4261" s="3"/>
      <c r="L4261" s="1"/>
    </row>
    <row r="4262" spans="1:12" x14ac:dyDescent="0.3">
      <c r="A4262" s="3"/>
      <c r="C4262" s="1"/>
      <c r="E4262" s="1"/>
      <c r="J4262" s="3"/>
      <c r="L4262" s="1"/>
    </row>
    <row r="4263" spans="1:12" x14ac:dyDescent="0.3">
      <c r="A4263" s="3"/>
      <c r="C4263" s="1"/>
      <c r="E4263" s="1"/>
      <c r="J4263" s="3"/>
      <c r="L4263" s="1"/>
    </row>
    <row r="4264" spans="1:12" x14ac:dyDescent="0.3">
      <c r="A4264" s="3"/>
      <c r="C4264" s="1"/>
      <c r="E4264" s="1"/>
      <c r="J4264" s="3"/>
      <c r="L4264" s="1"/>
    </row>
    <row r="4265" spans="1:12" x14ac:dyDescent="0.3">
      <c r="A4265" s="3"/>
      <c r="C4265" s="1"/>
      <c r="E4265" s="1"/>
      <c r="J4265" s="3"/>
      <c r="L4265" s="1"/>
    </row>
    <row r="4266" spans="1:12" x14ac:dyDescent="0.3">
      <c r="A4266" s="3"/>
      <c r="C4266" s="1"/>
      <c r="E4266" s="1"/>
      <c r="J4266" s="3"/>
      <c r="L4266" s="1"/>
    </row>
    <row r="4267" spans="1:12" x14ac:dyDescent="0.3">
      <c r="A4267" s="3"/>
      <c r="C4267" s="1"/>
      <c r="E4267" s="1"/>
      <c r="J4267" s="3"/>
      <c r="L4267" s="1"/>
    </row>
    <row r="4268" spans="1:12" x14ac:dyDescent="0.3">
      <c r="A4268" s="3"/>
      <c r="C4268" s="1"/>
      <c r="E4268" s="1"/>
      <c r="J4268" s="3"/>
      <c r="L4268" s="1"/>
    </row>
    <row r="4269" spans="1:12" x14ac:dyDescent="0.3">
      <c r="A4269" s="3"/>
      <c r="C4269" s="1"/>
      <c r="E4269" s="1"/>
      <c r="J4269" s="3"/>
      <c r="L4269" s="1"/>
    </row>
    <row r="4270" spans="1:12" x14ac:dyDescent="0.3">
      <c r="A4270" s="3"/>
      <c r="C4270" s="1"/>
      <c r="E4270" s="1"/>
      <c r="J4270" s="3"/>
      <c r="L4270" s="1"/>
    </row>
    <row r="4271" spans="1:12" x14ac:dyDescent="0.3">
      <c r="A4271" s="3"/>
      <c r="C4271" s="1"/>
      <c r="E4271" s="1"/>
      <c r="J4271" s="3"/>
      <c r="L4271" s="1"/>
    </row>
    <row r="4272" spans="1:12" x14ac:dyDescent="0.3">
      <c r="A4272" s="3"/>
      <c r="C4272" s="1"/>
      <c r="E4272" s="1"/>
      <c r="J4272" s="3"/>
      <c r="L4272" s="1"/>
    </row>
    <row r="4273" spans="1:12" x14ac:dyDescent="0.3">
      <c r="A4273" s="3"/>
      <c r="C4273" s="1"/>
      <c r="E4273" s="1"/>
      <c r="J4273" s="3"/>
      <c r="L4273" s="1"/>
    </row>
    <row r="4274" spans="1:12" x14ac:dyDescent="0.3">
      <c r="A4274" s="3"/>
      <c r="C4274" s="1"/>
      <c r="E4274" s="1"/>
      <c r="J4274" s="3"/>
      <c r="L4274" s="1"/>
    </row>
    <row r="4275" spans="1:12" x14ac:dyDescent="0.3">
      <c r="A4275" s="3"/>
      <c r="C4275" s="1"/>
      <c r="E4275" s="1"/>
      <c r="J4275" s="3"/>
      <c r="L4275" s="1"/>
    </row>
    <row r="4276" spans="1:12" x14ac:dyDescent="0.3">
      <c r="A4276" s="3"/>
      <c r="C4276" s="1"/>
      <c r="E4276" s="1"/>
      <c r="J4276" s="3"/>
      <c r="L4276" s="1"/>
    </row>
    <row r="4277" spans="1:12" x14ac:dyDescent="0.3">
      <c r="A4277" s="3"/>
      <c r="C4277" s="1"/>
      <c r="E4277" s="1"/>
      <c r="J4277" s="3"/>
      <c r="L4277" s="1"/>
    </row>
    <row r="4278" spans="1:12" x14ac:dyDescent="0.3">
      <c r="A4278" s="3"/>
      <c r="C4278" s="1"/>
      <c r="E4278" s="1"/>
      <c r="J4278" s="3"/>
      <c r="L4278" s="1"/>
    </row>
    <row r="4279" spans="1:12" x14ac:dyDescent="0.3">
      <c r="A4279" s="3"/>
      <c r="C4279" s="1"/>
      <c r="E4279" s="1"/>
      <c r="J4279" s="3"/>
      <c r="L4279" s="1"/>
    </row>
    <row r="4280" spans="1:12" x14ac:dyDescent="0.3">
      <c r="A4280" s="3"/>
      <c r="C4280" s="1"/>
      <c r="E4280" s="1"/>
      <c r="J4280" s="3"/>
      <c r="L4280" s="1"/>
    </row>
    <row r="4281" spans="1:12" x14ac:dyDescent="0.3">
      <c r="A4281" s="3"/>
      <c r="C4281" s="1"/>
      <c r="E4281" s="1"/>
      <c r="J4281" s="3"/>
      <c r="L4281" s="1"/>
    </row>
    <row r="4282" spans="1:12" x14ac:dyDescent="0.3">
      <c r="A4282" s="3"/>
      <c r="C4282" s="1"/>
      <c r="E4282" s="1"/>
      <c r="J4282" s="3"/>
      <c r="L4282" s="1"/>
    </row>
    <row r="4283" spans="1:12" x14ac:dyDescent="0.3">
      <c r="A4283" s="3"/>
      <c r="C4283" s="1"/>
      <c r="E4283" s="1"/>
      <c r="J4283" s="3"/>
      <c r="L4283" s="1"/>
    </row>
    <row r="4284" spans="1:12" x14ac:dyDescent="0.3">
      <c r="A4284" s="3"/>
      <c r="C4284" s="1"/>
      <c r="E4284" s="1"/>
      <c r="J4284" s="3"/>
      <c r="L4284" s="1"/>
    </row>
    <row r="4285" spans="1:12" x14ac:dyDescent="0.3">
      <c r="A4285" s="3"/>
      <c r="C4285" s="1"/>
      <c r="E4285" s="1"/>
      <c r="J4285" s="3"/>
      <c r="L4285" s="1"/>
    </row>
    <row r="4286" spans="1:12" x14ac:dyDescent="0.3">
      <c r="A4286" s="3"/>
      <c r="C4286" s="1"/>
      <c r="E4286" s="1"/>
      <c r="J4286" s="3"/>
      <c r="L4286" s="1"/>
    </row>
    <row r="4287" spans="1:12" x14ac:dyDescent="0.3">
      <c r="A4287" s="3"/>
      <c r="C4287" s="1"/>
      <c r="E4287" s="1"/>
      <c r="J4287" s="3"/>
      <c r="L4287" s="1"/>
    </row>
    <row r="4288" spans="1:12" x14ac:dyDescent="0.3">
      <c r="A4288" s="3"/>
      <c r="C4288" s="1"/>
      <c r="E4288" s="1"/>
      <c r="J4288" s="3"/>
      <c r="L4288" s="1"/>
    </row>
    <row r="4289" spans="1:12" x14ac:dyDescent="0.3">
      <c r="A4289" s="3"/>
      <c r="C4289" s="1"/>
      <c r="E4289" s="1"/>
      <c r="J4289" s="3"/>
      <c r="L4289" s="1"/>
    </row>
    <row r="4290" spans="1:12" x14ac:dyDescent="0.3">
      <c r="A4290" s="3"/>
      <c r="C4290" s="1"/>
      <c r="E4290" s="1"/>
      <c r="J4290" s="3"/>
      <c r="L4290" s="1"/>
    </row>
    <row r="4291" spans="1:12" x14ac:dyDescent="0.3">
      <c r="A4291" s="3"/>
      <c r="C4291" s="1"/>
      <c r="E4291" s="1"/>
      <c r="J4291" s="3"/>
      <c r="L4291" s="1"/>
    </row>
    <row r="4292" spans="1:12" x14ac:dyDescent="0.3">
      <c r="A4292" s="3"/>
      <c r="C4292" s="1"/>
      <c r="E4292" s="1"/>
      <c r="J4292" s="3"/>
      <c r="L4292" s="1"/>
    </row>
    <row r="4293" spans="1:12" x14ac:dyDescent="0.3">
      <c r="A4293" s="3"/>
      <c r="C4293" s="1"/>
      <c r="E4293" s="1"/>
      <c r="J4293" s="3"/>
      <c r="L4293" s="1"/>
    </row>
    <row r="4294" spans="1:12" x14ac:dyDescent="0.3">
      <c r="A4294" s="3"/>
      <c r="C4294" s="1"/>
      <c r="E4294" s="1"/>
      <c r="J4294" s="3"/>
      <c r="L4294" s="1"/>
    </row>
    <row r="4295" spans="1:12" x14ac:dyDescent="0.3">
      <c r="A4295" s="3"/>
      <c r="C4295" s="1"/>
      <c r="E4295" s="1"/>
      <c r="J4295" s="3"/>
      <c r="L4295" s="1"/>
    </row>
    <row r="4296" spans="1:12" x14ac:dyDescent="0.3">
      <c r="A4296" s="3"/>
      <c r="C4296" s="1"/>
      <c r="E4296" s="1"/>
      <c r="J4296" s="3"/>
      <c r="L4296" s="1"/>
    </row>
    <row r="4297" spans="1:12" x14ac:dyDescent="0.3">
      <c r="A4297" s="3"/>
      <c r="C4297" s="1"/>
      <c r="E4297" s="1"/>
      <c r="J4297" s="3"/>
      <c r="L4297" s="1"/>
    </row>
    <row r="4298" spans="1:12" x14ac:dyDescent="0.3">
      <c r="A4298" s="3"/>
      <c r="C4298" s="1"/>
      <c r="E4298" s="1"/>
      <c r="J4298" s="3"/>
      <c r="L4298" s="1"/>
    </row>
    <row r="4299" spans="1:12" x14ac:dyDescent="0.3">
      <c r="A4299" s="3"/>
      <c r="C4299" s="1"/>
      <c r="E4299" s="1"/>
      <c r="J4299" s="3"/>
      <c r="L4299" s="1"/>
    </row>
    <row r="4300" spans="1:12" x14ac:dyDescent="0.3">
      <c r="A4300" s="3"/>
      <c r="C4300" s="1"/>
      <c r="E4300" s="1"/>
      <c r="J4300" s="3"/>
      <c r="L4300" s="1"/>
    </row>
    <row r="4301" spans="1:12" x14ac:dyDescent="0.3">
      <c r="A4301" s="3"/>
      <c r="C4301" s="1"/>
      <c r="E4301" s="1"/>
      <c r="J4301" s="3"/>
      <c r="L4301" s="1"/>
    </row>
    <row r="4302" spans="1:12" x14ac:dyDescent="0.3">
      <c r="A4302" s="3"/>
      <c r="C4302" s="1"/>
      <c r="E4302" s="1"/>
      <c r="J4302" s="3"/>
      <c r="L4302" s="1"/>
    </row>
    <row r="4303" spans="1:12" x14ac:dyDescent="0.3">
      <c r="A4303" s="3"/>
      <c r="C4303" s="1"/>
      <c r="E4303" s="1"/>
      <c r="J4303" s="3"/>
      <c r="L4303" s="1"/>
    </row>
    <row r="4304" spans="1:12" x14ac:dyDescent="0.3">
      <c r="A4304" s="3"/>
      <c r="C4304" s="1"/>
      <c r="E4304" s="1"/>
      <c r="J4304" s="3"/>
      <c r="L4304" s="1"/>
    </row>
    <row r="4305" spans="1:12" x14ac:dyDescent="0.3">
      <c r="A4305" s="3"/>
      <c r="C4305" s="1"/>
      <c r="E4305" s="1"/>
      <c r="J4305" s="3"/>
      <c r="L4305" s="1"/>
    </row>
    <row r="4306" spans="1:12" x14ac:dyDescent="0.3">
      <c r="A4306" s="3"/>
      <c r="C4306" s="1"/>
      <c r="E4306" s="1"/>
      <c r="J4306" s="3"/>
      <c r="L4306" s="1"/>
    </row>
    <row r="4307" spans="1:12" x14ac:dyDescent="0.3">
      <c r="A4307" s="3"/>
      <c r="C4307" s="1"/>
      <c r="E4307" s="1"/>
      <c r="J4307" s="3"/>
      <c r="L4307" s="1"/>
    </row>
    <row r="4308" spans="1:12" x14ac:dyDescent="0.3">
      <c r="A4308" s="3"/>
      <c r="C4308" s="1"/>
      <c r="E4308" s="1"/>
      <c r="J4308" s="3"/>
      <c r="L4308" s="1"/>
    </row>
    <row r="4309" spans="1:12" x14ac:dyDescent="0.3">
      <c r="A4309" s="3"/>
      <c r="C4309" s="1"/>
      <c r="E4309" s="1"/>
      <c r="J4309" s="3"/>
      <c r="L4309" s="1"/>
    </row>
    <row r="4310" spans="1:12" x14ac:dyDescent="0.3">
      <c r="A4310" s="3"/>
      <c r="C4310" s="1"/>
      <c r="E4310" s="1"/>
      <c r="J4310" s="3"/>
      <c r="L4310" s="1"/>
    </row>
    <row r="4311" spans="1:12" x14ac:dyDescent="0.3">
      <c r="A4311" s="3"/>
      <c r="C4311" s="1"/>
      <c r="E4311" s="1"/>
      <c r="J4311" s="3"/>
      <c r="L4311" s="1"/>
    </row>
    <row r="4312" spans="1:12" x14ac:dyDescent="0.3">
      <c r="A4312" s="3"/>
      <c r="C4312" s="1"/>
      <c r="E4312" s="1"/>
      <c r="J4312" s="3"/>
      <c r="L4312" s="1"/>
    </row>
    <row r="4313" spans="1:12" x14ac:dyDescent="0.3">
      <c r="A4313" s="3"/>
      <c r="C4313" s="1"/>
      <c r="E4313" s="1"/>
      <c r="J4313" s="3"/>
      <c r="L4313" s="1"/>
    </row>
    <row r="4314" spans="1:12" x14ac:dyDescent="0.3">
      <c r="A4314" s="3"/>
      <c r="C4314" s="1"/>
      <c r="E4314" s="1"/>
      <c r="J4314" s="3"/>
      <c r="L4314" s="1"/>
    </row>
    <row r="4315" spans="1:12" x14ac:dyDescent="0.3">
      <c r="A4315" s="3"/>
      <c r="C4315" s="1"/>
      <c r="E4315" s="1"/>
      <c r="J4315" s="3"/>
      <c r="L4315" s="1"/>
    </row>
    <row r="4316" spans="1:12" x14ac:dyDescent="0.3">
      <c r="A4316" s="3"/>
      <c r="C4316" s="1"/>
      <c r="E4316" s="1"/>
      <c r="J4316" s="3"/>
      <c r="L4316" s="1"/>
    </row>
    <row r="4317" spans="1:12" x14ac:dyDescent="0.3">
      <c r="A4317" s="3"/>
      <c r="C4317" s="1"/>
      <c r="E4317" s="1"/>
      <c r="J4317" s="3"/>
      <c r="L4317" s="1"/>
    </row>
    <row r="4318" spans="1:12" x14ac:dyDescent="0.3">
      <c r="A4318" s="3"/>
      <c r="C4318" s="1"/>
      <c r="E4318" s="1"/>
      <c r="J4318" s="3"/>
      <c r="L4318" s="1"/>
    </row>
    <row r="4319" spans="1:12" x14ac:dyDescent="0.3">
      <c r="A4319" s="3"/>
      <c r="C4319" s="1"/>
      <c r="E4319" s="1"/>
      <c r="J4319" s="3"/>
      <c r="L4319" s="1"/>
    </row>
    <row r="4320" spans="1:12" x14ac:dyDescent="0.3">
      <c r="A4320" s="3"/>
      <c r="C4320" s="1"/>
      <c r="E4320" s="1"/>
      <c r="J4320" s="3"/>
      <c r="L4320" s="1"/>
    </row>
    <row r="4321" spans="1:12" x14ac:dyDescent="0.3">
      <c r="A4321" s="3"/>
      <c r="C4321" s="1"/>
      <c r="E4321" s="1"/>
      <c r="J4321" s="3"/>
      <c r="L4321" s="1"/>
    </row>
    <row r="4322" spans="1:12" x14ac:dyDescent="0.3">
      <c r="A4322" s="3"/>
      <c r="C4322" s="1"/>
      <c r="E4322" s="1"/>
      <c r="J4322" s="3"/>
      <c r="L4322" s="1"/>
    </row>
    <row r="4323" spans="1:12" x14ac:dyDescent="0.3">
      <c r="A4323" s="3"/>
      <c r="C4323" s="1"/>
      <c r="E4323" s="1"/>
      <c r="J4323" s="3"/>
      <c r="L4323" s="1"/>
    </row>
    <row r="4324" spans="1:12" x14ac:dyDescent="0.3">
      <c r="A4324" s="3"/>
      <c r="C4324" s="1"/>
      <c r="E4324" s="1"/>
      <c r="J4324" s="3"/>
      <c r="L4324" s="1"/>
    </row>
    <row r="4325" spans="1:12" x14ac:dyDescent="0.3">
      <c r="A4325" s="3"/>
      <c r="C4325" s="1"/>
      <c r="E4325" s="1"/>
      <c r="J4325" s="3"/>
      <c r="L4325" s="1"/>
    </row>
    <row r="4326" spans="1:12" x14ac:dyDescent="0.3">
      <c r="A4326" s="3"/>
      <c r="C4326" s="1"/>
      <c r="E4326" s="1"/>
      <c r="J4326" s="3"/>
      <c r="L4326" s="1"/>
    </row>
    <row r="4327" spans="1:12" x14ac:dyDescent="0.3">
      <c r="A4327" s="3"/>
      <c r="C4327" s="1"/>
      <c r="E4327" s="1"/>
      <c r="J4327" s="3"/>
      <c r="L4327" s="1"/>
    </row>
    <row r="4328" spans="1:12" x14ac:dyDescent="0.3">
      <c r="A4328" s="3"/>
      <c r="C4328" s="1"/>
      <c r="E4328" s="1"/>
      <c r="J4328" s="3"/>
      <c r="L4328" s="1"/>
    </row>
    <row r="4329" spans="1:12" x14ac:dyDescent="0.3">
      <c r="A4329" s="3"/>
      <c r="C4329" s="1"/>
      <c r="E4329" s="1"/>
      <c r="J4329" s="3"/>
      <c r="L4329" s="1"/>
    </row>
    <row r="4330" spans="1:12" x14ac:dyDescent="0.3">
      <c r="A4330" s="3"/>
      <c r="C4330" s="1"/>
      <c r="E4330" s="1"/>
      <c r="J4330" s="3"/>
      <c r="L4330" s="1"/>
    </row>
    <row r="4331" spans="1:12" x14ac:dyDescent="0.3">
      <c r="A4331" s="3"/>
      <c r="C4331" s="1"/>
      <c r="E4331" s="1"/>
      <c r="J4331" s="3"/>
      <c r="L4331" s="1"/>
    </row>
    <row r="4332" spans="1:12" x14ac:dyDescent="0.3">
      <c r="A4332" s="3"/>
      <c r="C4332" s="1"/>
      <c r="E4332" s="1"/>
      <c r="J4332" s="3"/>
      <c r="L4332" s="1"/>
    </row>
    <row r="4333" spans="1:12" x14ac:dyDescent="0.3">
      <c r="A4333" s="3"/>
      <c r="C4333" s="1"/>
      <c r="E4333" s="1"/>
      <c r="J4333" s="3"/>
      <c r="L4333" s="1"/>
    </row>
    <row r="4334" spans="1:12" x14ac:dyDescent="0.3">
      <c r="A4334" s="3"/>
      <c r="C4334" s="1"/>
      <c r="E4334" s="1"/>
      <c r="J4334" s="3"/>
      <c r="L4334" s="1"/>
    </row>
    <row r="4335" spans="1:12" x14ac:dyDescent="0.3">
      <c r="A4335" s="3"/>
      <c r="C4335" s="1"/>
      <c r="E4335" s="1"/>
      <c r="J4335" s="3"/>
      <c r="L4335" s="1"/>
    </row>
    <row r="4336" spans="1:12" x14ac:dyDescent="0.3">
      <c r="A4336" s="3"/>
      <c r="C4336" s="1"/>
      <c r="E4336" s="1"/>
      <c r="J4336" s="3"/>
      <c r="L4336" s="1"/>
    </row>
    <row r="4337" spans="1:12" x14ac:dyDescent="0.3">
      <c r="A4337" s="3"/>
      <c r="C4337" s="1"/>
      <c r="E4337" s="1"/>
      <c r="J4337" s="3"/>
      <c r="L4337" s="1"/>
    </row>
    <row r="4338" spans="1:12" x14ac:dyDescent="0.3">
      <c r="A4338" s="3"/>
      <c r="C4338" s="1"/>
      <c r="E4338" s="1"/>
      <c r="J4338" s="3"/>
      <c r="L4338" s="1"/>
    </row>
    <row r="4339" spans="1:12" x14ac:dyDescent="0.3">
      <c r="A4339" s="3"/>
      <c r="C4339" s="1"/>
      <c r="E4339" s="1"/>
      <c r="J4339" s="3"/>
      <c r="L4339" s="1"/>
    </row>
    <row r="4340" spans="1:12" x14ac:dyDescent="0.3">
      <c r="A4340" s="3"/>
      <c r="C4340" s="1"/>
      <c r="E4340" s="1"/>
      <c r="J4340" s="3"/>
      <c r="L4340" s="1"/>
    </row>
    <row r="4341" spans="1:12" x14ac:dyDescent="0.3">
      <c r="A4341" s="3"/>
      <c r="C4341" s="1"/>
      <c r="E4341" s="1"/>
      <c r="J4341" s="3"/>
      <c r="L4341" s="1"/>
    </row>
    <row r="4342" spans="1:12" x14ac:dyDescent="0.3">
      <c r="A4342" s="3"/>
      <c r="C4342" s="1"/>
      <c r="E4342" s="1"/>
      <c r="J4342" s="3"/>
      <c r="L4342" s="1"/>
    </row>
    <row r="4343" spans="1:12" x14ac:dyDescent="0.3">
      <c r="A4343" s="3"/>
      <c r="C4343" s="1"/>
      <c r="E4343" s="1"/>
      <c r="J4343" s="3"/>
      <c r="L4343" s="1"/>
    </row>
    <row r="4344" spans="1:12" x14ac:dyDescent="0.3">
      <c r="A4344" s="3"/>
      <c r="C4344" s="1"/>
      <c r="E4344" s="1"/>
      <c r="J4344" s="3"/>
      <c r="L4344" s="1"/>
    </row>
    <row r="4345" spans="1:12" x14ac:dyDescent="0.3">
      <c r="A4345" s="3"/>
      <c r="C4345" s="1"/>
      <c r="E4345" s="1"/>
      <c r="J4345" s="3"/>
      <c r="L4345" s="1"/>
    </row>
    <row r="4346" spans="1:12" x14ac:dyDescent="0.3">
      <c r="A4346" s="3"/>
      <c r="C4346" s="1"/>
      <c r="E4346" s="1"/>
      <c r="J4346" s="3"/>
      <c r="L4346" s="1"/>
    </row>
    <row r="4347" spans="1:12" x14ac:dyDescent="0.3">
      <c r="A4347" s="3"/>
      <c r="C4347" s="1"/>
      <c r="E4347" s="1"/>
      <c r="J4347" s="3"/>
      <c r="L4347" s="1"/>
    </row>
    <row r="4348" spans="1:12" x14ac:dyDescent="0.3">
      <c r="A4348" s="3"/>
      <c r="C4348" s="1"/>
      <c r="E4348" s="1"/>
      <c r="J4348" s="3"/>
      <c r="L4348" s="1"/>
    </row>
    <row r="4349" spans="1:12" x14ac:dyDescent="0.3">
      <c r="A4349" s="3"/>
      <c r="C4349" s="1"/>
      <c r="E4349" s="1"/>
      <c r="J4349" s="3"/>
      <c r="L4349" s="1"/>
    </row>
    <row r="4350" spans="1:12" x14ac:dyDescent="0.3">
      <c r="A4350" s="3"/>
      <c r="C4350" s="1"/>
      <c r="E4350" s="1"/>
      <c r="J4350" s="3"/>
      <c r="L4350" s="1"/>
    </row>
    <row r="4351" spans="1:12" x14ac:dyDescent="0.3">
      <c r="A4351" s="3"/>
      <c r="C4351" s="1"/>
      <c r="E4351" s="1"/>
      <c r="J4351" s="3"/>
      <c r="L4351" s="1"/>
    </row>
    <row r="4352" spans="1:12" x14ac:dyDescent="0.3">
      <c r="A4352" s="3"/>
      <c r="C4352" s="1"/>
      <c r="E4352" s="1"/>
      <c r="J4352" s="3"/>
      <c r="L4352" s="1"/>
    </row>
    <row r="4353" spans="1:12" x14ac:dyDescent="0.3">
      <c r="A4353" s="3"/>
      <c r="C4353" s="1"/>
      <c r="E4353" s="1"/>
      <c r="J4353" s="3"/>
      <c r="L4353" s="1"/>
    </row>
    <row r="4354" spans="1:12" x14ac:dyDescent="0.3">
      <c r="A4354" s="3"/>
      <c r="C4354" s="1"/>
      <c r="E4354" s="1"/>
      <c r="J4354" s="3"/>
      <c r="L4354" s="1"/>
    </row>
    <row r="4355" spans="1:12" x14ac:dyDescent="0.3">
      <c r="A4355" s="3"/>
      <c r="C4355" s="1"/>
      <c r="E4355" s="1"/>
      <c r="J4355" s="3"/>
      <c r="L4355" s="1"/>
    </row>
    <row r="4356" spans="1:12" x14ac:dyDescent="0.3">
      <c r="A4356" s="3"/>
      <c r="C4356" s="1"/>
      <c r="E4356" s="1"/>
      <c r="J4356" s="3"/>
      <c r="L4356" s="1"/>
    </row>
    <row r="4357" spans="1:12" x14ac:dyDescent="0.3">
      <c r="A4357" s="3"/>
      <c r="C4357" s="1"/>
      <c r="E4357" s="1"/>
      <c r="J4357" s="3"/>
      <c r="L4357" s="1"/>
    </row>
    <row r="4358" spans="1:12" x14ac:dyDescent="0.3">
      <c r="A4358" s="3"/>
      <c r="C4358" s="1"/>
      <c r="E4358" s="1"/>
      <c r="J4358" s="3"/>
      <c r="L4358" s="1"/>
    </row>
    <row r="4359" spans="1:12" x14ac:dyDescent="0.3">
      <c r="A4359" s="3"/>
      <c r="C4359" s="1"/>
      <c r="E4359" s="1"/>
      <c r="J4359" s="3"/>
      <c r="L4359" s="1"/>
    </row>
    <row r="4360" spans="1:12" x14ac:dyDescent="0.3">
      <c r="A4360" s="3"/>
      <c r="C4360" s="1"/>
      <c r="E4360" s="1"/>
      <c r="J4360" s="3"/>
      <c r="L4360" s="1"/>
    </row>
    <row r="4361" spans="1:12" x14ac:dyDescent="0.3">
      <c r="A4361" s="3"/>
      <c r="C4361" s="1"/>
      <c r="E4361" s="1"/>
      <c r="J4361" s="3"/>
      <c r="L4361" s="1"/>
    </row>
    <row r="4362" spans="1:12" x14ac:dyDescent="0.3">
      <c r="A4362" s="3"/>
      <c r="C4362" s="1"/>
      <c r="E4362" s="1"/>
      <c r="J4362" s="3"/>
      <c r="L4362" s="1"/>
    </row>
    <row r="4363" spans="1:12" x14ac:dyDescent="0.3">
      <c r="A4363" s="3"/>
      <c r="C4363" s="1"/>
      <c r="E4363" s="1"/>
      <c r="J4363" s="3"/>
      <c r="L4363" s="1"/>
    </row>
    <row r="4364" spans="1:12" x14ac:dyDescent="0.3">
      <c r="A4364" s="3"/>
      <c r="C4364" s="1"/>
      <c r="E4364" s="1"/>
      <c r="J4364" s="3"/>
      <c r="L4364" s="1"/>
    </row>
    <row r="4365" spans="1:12" x14ac:dyDescent="0.3">
      <c r="A4365" s="3"/>
      <c r="C4365" s="1"/>
      <c r="E4365" s="1"/>
      <c r="J4365" s="3"/>
      <c r="L4365" s="1"/>
    </row>
    <row r="4366" spans="1:12" x14ac:dyDescent="0.3">
      <c r="A4366" s="3"/>
      <c r="C4366" s="1"/>
      <c r="E4366" s="1"/>
      <c r="J4366" s="3"/>
      <c r="L4366" s="1"/>
    </row>
    <row r="4367" spans="1:12" x14ac:dyDescent="0.3">
      <c r="A4367" s="3"/>
      <c r="C4367" s="1"/>
      <c r="E4367" s="1"/>
      <c r="J4367" s="3"/>
      <c r="L4367" s="1"/>
    </row>
    <row r="4368" spans="1:12" x14ac:dyDescent="0.3">
      <c r="A4368" s="3"/>
      <c r="C4368" s="1"/>
      <c r="E4368" s="1"/>
      <c r="J4368" s="3"/>
      <c r="L4368" s="1"/>
    </row>
    <row r="4369" spans="1:12" x14ac:dyDescent="0.3">
      <c r="A4369" s="3"/>
      <c r="C4369" s="1"/>
      <c r="E4369" s="1"/>
      <c r="J4369" s="3"/>
      <c r="L4369" s="1"/>
    </row>
    <row r="4370" spans="1:12" x14ac:dyDescent="0.3">
      <c r="A4370" s="3"/>
      <c r="C4370" s="1"/>
      <c r="E4370" s="1"/>
      <c r="J4370" s="3"/>
      <c r="L4370" s="1"/>
    </row>
    <row r="4371" spans="1:12" x14ac:dyDescent="0.3">
      <c r="A4371" s="3"/>
      <c r="C4371" s="1"/>
      <c r="E4371" s="1"/>
      <c r="J4371" s="3"/>
      <c r="L4371" s="1"/>
    </row>
    <row r="4372" spans="1:12" x14ac:dyDescent="0.3">
      <c r="A4372" s="3"/>
      <c r="C4372" s="1"/>
      <c r="E4372" s="1"/>
      <c r="J4372" s="3"/>
      <c r="L4372" s="1"/>
    </row>
    <row r="4373" spans="1:12" x14ac:dyDescent="0.3">
      <c r="A4373" s="3"/>
      <c r="C4373" s="1"/>
      <c r="E4373" s="1"/>
      <c r="J4373" s="3"/>
      <c r="L4373" s="1"/>
    </row>
    <row r="4374" spans="1:12" x14ac:dyDescent="0.3">
      <c r="A4374" s="3"/>
      <c r="C4374" s="1"/>
      <c r="E4374" s="1"/>
      <c r="J4374" s="3"/>
      <c r="L4374" s="1"/>
    </row>
    <row r="4375" spans="1:12" x14ac:dyDescent="0.3">
      <c r="A4375" s="3"/>
      <c r="C4375" s="1"/>
      <c r="E4375" s="1"/>
      <c r="J4375" s="3"/>
      <c r="L4375" s="1"/>
    </row>
    <row r="4376" spans="1:12" x14ac:dyDescent="0.3">
      <c r="A4376" s="3"/>
      <c r="C4376" s="1"/>
      <c r="E4376" s="1"/>
      <c r="J4376" s="3"/>
      <c r="L4376" s="1"/>
    </row>
    <row r="4377" spans="1:12" x14ac:dyDescent="0.3">
      <c r="A4377" s="3"/>
      <c r="C4377" s="1"/>
      <c r="E4377" s="1"/>
      <c r="J4377" s="3"/>
      <c r="L4377" s="1"/>
    </row>
    <row r="4378" spans="1:12" x14ac:dyDescent="0.3">
      <c r="A4378" s="3"/>
      <c r="C4378" s="1"/>
      <c r="E4378" s="1"/>
      <c r="J4378" s="3"/>
      <c r="L4378" s="1"/>
    </row>
    <row r="4379" spans="1:12" x14ac:dyDescent="0.3">
      <c r="A4379" s="3"/>
      <c r="C4379" s="1"/>
      <c r="E4379" s="1"/>
      <c r="J4379" s="3"/>
      <c r="L4379" s="1"/>
    </row>
    <row r="4380" spans="1:12" x14ac:dyDescent="0.3">
      <c r="A4380" s="3"/>
      <c r="C4380" s="1"/>
      <c r="E4380" s="1"/>
      <c r="J4380" s="3"/>
      <c r="L4380" s="1"/>
    </row>
    <row r="4381" spans="1:12" x14ac:dyDescent="0.3">
      <c r="A4381" s="3"/>
      <c r="C4381" s="1"/>
      <c r="E4381" s="1"/>
      <c r="J4381" s="3"/>
      <c r="L4381" s="1"/>
    </row>
    <row r="4382" spans="1:12" x14ac:dyDescent="0.3">
      <c r="A4382" s="3"/>
      <c r="C4382" s="1"/>
      <c r="E4382" s="1"/>
      <c r="J4382" s="3"/>
      <c r="L4382" s="1"/>
    </row>
    <row r="4383" spans="1:12" x14ac:dyDescent="0.3">
      <c r="A4383" s="3"/>
      <c r="C4383" s="1"/>
      <c r="E4383" s="1"/>
      <c r="J4383" s="3"/>
      <c r="L4383" s="1"/>
    </row>
    <row r="4384" spans="1:12" x14ac:dyDescent="0.3">
      <c r="A4384" s="3"/>
      <c r="C4384" s="1"/>
      <c r="E4384" s="1"/>
      <c r="J4384" s="3"/>
      <c r="L4384" s="1"/>
    </row>
    <row r="4385" spans="1:12" x14ac:dyDescent="0.3">
      <c r="A4385" s="3"/>
      <c r="C4385" s="1"/>
      <c r="E4385" s="1"/>
      <c r="J4385" s="3"/>
      <c r="L4385" s="1"/>
    </row>
    <row r="4386" spans="1:12" x14ac:dyDescent="0.3">
      <c r="A4386" s="3"/>
      <c r="C4386" s="1"/>
      <c r="E4386" s="1"/>
      <c r="J4386" s="3"/>
      <c r="L4386" s="1"/>
    </row>
    <row r="4387" spans="1:12" x14ac:dyDescent="0.3">
      <c r="A4387" s="3"/>
      <c r="C4387" s="1"/>
      <c r="E4387" s="1"/>
      <c r="J4387" s="3"/>
      <c r="L4387" s="1"/>
    </row>
    <row r="4388" spans="1:12" x14ac:dyDescent="0.3">
      <c r="A4388" s="3"/>
      <c r="C4388" s="1"/>
      <c r="E4388" s="1"/>
      <c r="J4388" s="3"/>
      <c r="L4388" s="1"/>
    </row>
    <row r="4389" spans="1:12" x14ac:dyDescent="0.3">
      <c r="A4389" s="3"/>
      <c r="C4389" s="1"/>
      <c r="E4389" s="1"/>
      <c r="J4389" s="3"/>
      <c r="L4389" s="1"/>
    </row>
    <row r="4390" spans="1:12" x14ac:dyDescent="0.3">
      <c r="A4390" s="3"/>
      <c r="C4390" s="1"/>
      <c r="E4390" s="1"/>
      <c r="J4390" s="3"/>
      <c r="L4390" s="1"/>
    </row>
    <row r="4391" spans="1:12" x14ac:dyDescent="0.3">
      <c r="A4391" s="3"/>
      <c r="C4391" s="1"/>
      <c r="E4391" s="1"/>
      <c r="J4391" s="3"/>
      <c r="L4391" s="1"/>
    </row>
    <row r="4392" spans="1:12" x14ac:dyDescent="0.3">
      <c r="A4392" s="3"/>
      <c r="C4392" s="1"/>
      <c r="E4392" s="1"/>
      <c r="J4392" s="3"/>
      <c r="L4392" s="1"/>
    </row>
    <row r="4393" spans="1:12" x14ac:dyDescent="0.3">
      <c r="A4393" s="3"/>
      <c r="C4393" s="1"/>
      <c r="E4393" s="1"/>
      <c r="J4393" s="3"/>
      <c r="L4393" s="1"/>
    </row>
    <row r="4394" spans="1:12" x14ac:dyDescent="0.3">
      <c r="A4394" s="3"/>
      <c r="C4394" s="1"/>
      <c r="E4394" s="1"/>
      <c r="J4394" s="3"/>
      <c r="L4394" s="1"/>
    </row>
    <row r="4395" spans="1:12" x14ac:dyDescent="0.3">
      <c r="A4395" s="3"/>
      <c r="C4395" s="1"/>
      <c r="E4395" s="1"/>
      <c r="J4395" s="3"/>
      <c r="L4395" s="1"/>
    </row>
    <row r="4396" spans="1:12" x14ac:dyDescent="0.3">
      <c r="A4396" s="3"/>
      <c r="C4396" s="1"/>
      <c r="E4396" s="1"/>
      <c r="J4396" s="3"/>
      <c r="L4396" s="1"/>
    </row>
    <row r="4397" spans="1:12" x14ac:dyDescent="0.3">
      <c r="A4397" s="3"/>
      <c r="C4397" s="1"/>
      <c r="E4397" s="1"/>
      <c r="J4397" s="3"/>
      <c r="L4397" s="1"/>
    </row>
    <row r="4398" spans="1:12" x14ac:dyDescent="0.3">
      <c r="A4398" s="3"/>
      <c r="C4398" s="1"/>
      <c r="E4398" s="1"/>
      <c r="J4398" s="3"/>
      <c r="L4398" s="1"/>
    </row>
    <row r="4399" spans="1:12" x14ac:dyDescent="0.3">
      <c r="A4399" s="3"/>
      <c r="C4399" s="1"/>
      <c r="E4399" s="1"/>
      <c r="J4399" s="3"/>
      <c r="L4399" s="1"/>
    </row>
    <row r="4400" spans="1:12" x14ac:dyDescent="0.3">
      <c r="A4400" s="3"/>
      <c r="C4400" s="1"/>
      <c r="E4400" s="1"/>
      <c r="J4400" s="3"/>
      <c r="L4400" s="1"/>
    </row>
    <row r="4401" spans="1:12" x14ac:dyDescent="0.3">
      <c r="A4401" s="3"/>
      <c r="C4401" s="1"/>
      <c r="E4401" s="1"/>
      <c r="J4401" s="3"/>
      <c r="L4401" s="1"/>
    </row>
    <row r="4402" spans="1:12" x14ac:dyDescent="0.3">
      <c r="A4402" s="3"/>
      <c r="C4402" s="1"/>
      <c r="E4402" s="1"/>
      <c r="J4402" s="3"/>
      <c r="L4402" s="1"/>
    </row>
    <row r="4403" spans="1:12" x14ac:dyDescent="0.3">
      <c r="A4403" s="3"/>
      <c r="C4403" s="1"/>
      <c r="E4403" s="1"/>
      <c r="J4403" s="3"/>
      <c r="L4403" s="1"/>
    </row>
    <row r="4404" spans="1:12" x14ac:dyDescent="0.3">
      <c r="A4404" s="3"/>
      <c r="C4404" s="1"/>
      <c r="E4404" s="1"/>
      <c r="J4404" s="3"/>
      <c r="L4404" s="1"/>
    </row>
    <row r="4405" spans="1:12" x14ac:dyDescent="0.3">
      <c r="A4405" s="3"/>
      <c r="C4405" s="1"/>
      <c r="E4405" s="1"/>
      <c r="J4405" s="3"/>
      <c r="L4405" s="1"/>
    </row>
    <row r="4406" spans="1:12" x14ac:dyDescent="0.3">
      <c r="A4406" s="3"/>
      <c r="C4406" s="1"/>
      <c r="E4406" s="1"/>
      <c r="J4406" s="3"/>
      <c r="L4406" s="1"/>
    </row>
    <row r="4407" spans="1:12" x14ac:dyDescent="0.3">
      <c r="A4407" s="3"/>
      <c r="C4407" s="1"/>
      <c r="E4407" s="1"/>
      <c r="J4407" s="3"/>
      <c r="L4407" s="1"/>
    </row>
    <row r="4408" spans="1:12" x14ac:dyDescent="0.3">
      <c r="A4408" s="3"/>
      <c r="C4408" s="1"/>
      <c r="E4408" s="1"/>
      <c r="J4408" s="3"/>
      <c r="L4408" s="1"/>
    </row>
    <row r="4409" spans="1:12" x14ac:dyDescent="0.3">
      <c r="A4409" s="3"/>
      <c r="C4409" s="1"/>
      <c r="E4409" s="1"/>
      <c r="J4409" s="3"/>
      <c r="L4409" s="1"/>
    </row>
    <row r="4410" spans="1:12" x14ac:dyDescent="0.3">
      <c r="A4410" s="3"/>
      <c r="C4410" s="1"/>
      <c r="E4410" s="1"/>
      <c r="J4410" s="3"/>
      <c r="L4410" s="1"/>
    </row>
    <row r="4411" spans="1:12" x14ac:dyDescent="0.3">
      <c r="A4411" s="3"/>
      <c r="C4411" s="1"/>
      <c r="E4411" s="1"/>
      <c r="J4411" s="3"/>
      <c r="L4411" s="1"/>
    </row>
    <row r="4412" spans="1:12" x14ac:dyDescent="0.3">
      <c r="A4412" s="3"/>
      <c r="C4412" s="1"/>
      <c r="E4412" s="1"/>
      <c r="J4412" s="3"/>
      <c r="L4412" s="1"/>
    </row>
    <row r="4413" spans="1:12" x14ac:dyDescent="0.3">
      <c r="A4413" s="3"/>
      <c r="C4413" s="1"/>
      <c r="E4413" s="1"/>
      <c r="J4413" s="3"/>
      <c r="L4413" s="1"/>
    </row>
    <row r="4414" spans="1:12" x14ac:dyDescent="0.3">
      <c r="A4414" s="3"/>
      <c r="C4414" s="1"/>
      <c r="E4414" s="1"/>
      <c r="J4414" s="3"/>
      <c r="L4414" s="1"/>
    </row>
    <row r="4415" spans="1:12" x14ac:dyDescent="0.3">
      <c r="A4415" s="3"/>
      <c r="C4415" s="1"/>
      <c r="E4415" s="1"/>
      <c r="J4415" s="3"/>
      <c r="L4415" s="1"/>
    </row>
    <row r="4416" spans="1:12" x14ac:dyDescent="0.3">
      <c r="A4416" s="3"/>
      <c r="C4416" s="1"/>
      <c r="E4416" s="1"/>
      <c r="J4416" s="3"/>
      <c r="L4416" s="1"/>
    </row>
    <row r="4417" spans="1:12" x14ac:dyDescent="0.3">
      <c r="A4417" s="3"/>
      <c r="C4417" s="1"/>
      <c r="E4417" s="1"/>
      <c r="J4417" s="3"/>
      <c r="L4417" s="1"/>
    </row>
    <row r="4418" spans="1:12" x14ac:dyDescent="0.3">
      <c r="A4418" s="3"/>
      <c r="C4418" s="1"/>
      <c r="E4418" s="1"/>
      <c r="J4418" s="3"/>
      <c r="L4418" s="1"/>
    </row>
    <row r="4419" spans="1:12" x14ac:dyDescent="0.3">
      <c r="A4419" s="3"/>
      <c r="C4419" s="1"/>
      <c r="E4419" s="1"/>
      <c r="J4419" s="3"/>
      <c r="L4419" s="1"/>
    </row>
    <row r="4420" spans="1:12" x14ac:dyDescent="0.3">
      <c r="A4420" s="3"/>
      <c r="C4420" s="1"/>
      <c r="E4420" s="1"/>
      <c r="J4420" s="3"/>
      <c r="L4420" s="1"/>
    </row>
    <row r="4421" spans="1:12" x14ac:dyDescent="0.3">
      <c r="A4421" s="3"/>
      <c r="C4421" s="1"/>
      <c r="E4421" s="1"/>
      <c r="J4421" s="3"/>
      <c r="L4421" s="1"/>
    </row>
    <row r="4422" spans="1:12" x14ac:dyDescent="0.3">
      <c r="A4422" s="3"/>
      <c r="C4422" s="1"/>
      <c r="E4422" s="1"/>
      <c r="J4422" s="3"/>
      <c r="L4422" s="1"/>
    </row>
    <row r="4423" spans="1:12" x14ac:dyDescent="0.3">
      <c r="A4423" s="3"/>
      <c r="C4423" s="1"/>
      <c r="E4423" s="1"/>
      <c r="J4423" s="3"/>
      <c r="L4423" s="1"/>
    </row>
    <row r="4424" spans="1:12" x14ac:dyDescent="0.3">
      <c r="A4424" s="3"/>
      <c r="C4424" s="1"/>
      <c r="E4424" s="1"/>
      <c r="J4424" s="3"/>
      <c r="L4424" s="1"/>
    </row>
    <row r="4425" spans="1:12" x14ac:dyDescent="0.3">
      <c r="A4425" s="3"/>
      <c r="C4425" s="1"/>
      <c r="E4425" s="1"/>
      <c r="J4425" s="3"/>
      <c r="L4425" s="1"/>
    </row>
    <row r="4426" spans="1:12" x14ac:dyDescent="0.3">
      <c r="A4426" s="3"/>
      <c r="C4426" s="1"/>
      <c r="E4426" s="1"/>
      <c r="J4426" s="3"/>
      <c r="L4426" s="1"/>
    </row>
    <row r="4427" spans="1:12" x14ac:dyDescent="0.3">
      <c r="A4427" s="3"/>
      <c r="C4427" s="1"/>
      <c r="E4427" s="1"/>
      <c r="J4427" s="3"/>
      <c r="L4427" s="1"/>
    </row>
    <row r="4428" spans="1:12" x14ac:dyDescent="0.3">
      <c r="A4428" s="3"/>
      <c r="C4428" s="1"/>
      <c r="E4428" s="1"/>
      <c r="J4428" s="3"/>
      <c r="L4428" s="1"/>
    </row>
    <row r="4429" spans="1:12" x14ac:dyDescent="0.3">
      <c r="A4429" s="3"/>
      <c r="C4429" s="1"/>
      <c r="E4429" s="1"/>
      <c r="J4429" s="3"/>
      <c r="L4429" s="1"/>
    </row>
    <row r="4430" spans="1:12" x14ac:dyDescent="0.3">
      <c r="A4430" s="3"/>
      <c r="C4430" s="1"/>
      <c r="E4430" s="1"/>
      <c r="J4430" s="3"/>
      <c r="L4430" s="1"/>
    </row>
    <row r="4431" spans="1:12" x14ac:dyDescent="0.3">
      <c r="A4431" s="3"/>
      <c r="C4431" s="1"/>
      <c r="E4431" s="1"/>
      <c r="J4431" s="3"/>
      <c r="L4431" s="1"/>
    </row>
    <row r="4432" spans="1:12" x14ac:dyDescent="0.3">
      <c r="A4432" s="3"/>
      <c r="C4432" s="1"/>
      <c r="E4432" s="1"/>
      <c r="J4432" s="3"/>
      <c r="L4432" s="1"/>
    </row>
    <row r="4433" spans="1:12" x14ac:dyDescent="0.3">
      <c r="A4433" s="3"/>
      <c r="C4433" s="1"/>
      <c r="E4433" s="1"/>
      <c r="J4433" s="3"/>
      <c r="L4433" s="1"/>
    </row>
    <row r="4434" spans="1:12" x14ac:dyDescent="0.3">
      <c r="A4434" s="3"/>
      <c r="C4434" s="1"/>
      <c r="E4434" s="1"/>
      <c r="J4434" s="3"/>
      <c r="L4434" s="1"/>
    </row>
    <row r="4435" spans="1:12" x14ac:dyDescent="0.3">
      <c r="A4435" s="3"/>
      <c r="C4435" s="1"/>
      <c r="E4435" s="1"/>
      <c r="J4435" s="3"/>
      <c r="L4435" s="1"/>
    </row>
    <row r="4436" spans="1:12" x14ac:dyDescent="0.3">
      <c r="A4436" s="3"/>
      <c r="C4436" s="1"/>
      <c r="E4436" s="1"/>
      <c r="J4436" s="3"/>
      <c r="L4436" s="1"/>
    </row>
    <row r="4437" spans="1:12" x14ac:dyDescent="0.3">
      <c r="A4437" s="3"/>
      <c r="C4437" s="1"/>
      <c r="E4437" s="1"/>
      <c r="J4437" s="3"/>
      <c r="L4437" s="1"/>
    </row>
    <row r="4438" spans="1:12" x14ac:dyDescent="0.3">
      <c r="A4438" s="3"/>
      <c r="C4438" s="1"/>
      <c r="E4438" s="1"/>
      <c r="J4438" s="3"/>
      <c r="L4438" s="1"/>
    </row>
    <row r="4439" spans="1:12" x14ac:dyDescent="0.3">
      <c r="A4439" s="3"/>
      <c r="C4439" s="1"/>
      <c r="E4439" s="1"/>
      <c r="J4439" s="3"/>
      <c r="L4439" s="1"/>
    </row>
    <row r="4440" spans="1:12" x14ac:dyDescent="0.3">
      <c r="A4440" s="3"/>
      <c r="C4440" s="1"/>
      <c r="E4440" s="1"/>
      <c r="J4440" s="3"/>
      <c r="L4440" s="1"/>
    </row>
    <row r="4441" spans="1:12" x14ac:dyDescent="0.3">
      <c r="A4441" s="3"/>
      <c r="C4441" s="1"/>
      <c r="E4441" s="1"/>
      <c r="J4441" s="3"/>
      <c r="L4441" s="1"/>
    </row>
    <row r="4442" spans="1:12" x14ac:dyDescent="0.3">
      <c r="A4442" s="3"/>
      <c r="C4442" s="1"/>
      <c r="E4442" s="1"/>
      <c r="J4442" s="3"/>
      <c r="L4442" s="1"/>
    </row>
    <row r="4443" spans="1:12" x14ac:dyDescent="0.3">
      <c r="A4443" s="3"/>
      <c r="C4443" s="1"/>
      <c r="E4443" s="1"/>
      <c r="J4443" s="3"/>
      <c r="L4443" s="1"/>
    </row>
    <row r="4444" spans="1:12" x14ac:dyDescent="0.3">
      <c r="A4444" s="3"/>
      <c r="C4444" s="1"/>
      <c r="E4444" s="1"/>
      <c r="J4444" s="3"/>
      <c r="L4444" s="1"/>
    </row>
    <row r="4445" spans="1:12" x14ac:dyDescent="0.3">
      <c r="A4445" s="3"/>
      <c r="C4445" s="1"/>
      <c r="E4445" s="1"/>
      <c r="J4445" s="3"/>
      <c r="L4445" s="1"/>
    </row>
    <row r="4446" spans="1:12" x14ac:dyDescent="0.3">
      <c r="A4446" s="3"/>
      <c r="C4446" s="1"/>
      <c r="E4446" s="1"/>
      <c r="J4446" s="3"/>
      <c r="L4446" s="1"/>
    </row>
    <row r="4447" spans="1:12" x14ac:dyDescent="0.3">
      <c r="A4447" s="3"/>
      <c r="C4447" s="1"/>
      <c r="E4447" s="1"/>
      <c r="J4447" s="3"/>
      <c r="L4447" s="1"/>
    </row>
    <row r="4448" spans="1:12" x14ac:dyDescent="0.3">
      <c r="A4448" s="3"/>
      <c r="C4448" s="1"/>
      <c r="E4448" s="1"/>
      <c r="J4448" s="3"/>
      <c r="L4448" s="1"/>
    </row>
    <row r="4449" spans="1:12" x14ac:dyDescent="0.3">
      <c r="A4449" s="3"/>
      <c r="C4449" s="1"/>
      <c r="E4449" s="1"/>
      <c r="J4449" s="3"/>
      <c r="L4449" s="1"/>
    </row>
    <row r="4450" spans="1:12" x14ac:dyDescent="0.3">
      <c r="A4450" s="3"/>
      <c r="C4450" s="1"/>
      <c r="E4450" s="1"/>
      <c r="J4450" s="3"/>
      <c r="L4450" s="1"/>
    </row>
    <row r="4451" spans="1:12" x14ac:dyDescent="0.3">
      <c r="A4451" s="3"/>
      <c r="C4451" s="1"/>
      <c r="E4451" s="1"/>
      <c r="J4451" s="3"/>
      <c r="L4451" s="1"/>
    </row>
    <row r="4452" spans="1:12" x14ac:dyDescent="0.3">
      <c r="A4452" s="3"/>
      <c r="C4452" s="1"/>
      <c r="E4452" s="1"/>
      <c r="J4452" s="3"/>
      <c r="L4452" s="1"/>
    </row>
    <row r="4453" spans="1:12" x14ac:dyDescent="0.3">
      <c r="A4453" s="3"/>
      <c r="C4453" s="1"/>
      <c r="E4453" s="1"/>
      <c r="J4453" s="3"/>
      <c r="L4453" s="1"/>
    </row>
    <row r="4454" spans="1:12" x14ac:dyDescent="0.3">
      <c r="A4454" s="3"/>
      <c r="C4454" s="1"/>
      <c r="E4454" s="1"/>
      <c r="J4454" s="3"/>
      <c r="L4454" s="1"/>
    </row>
    <row r="4455" spans="1:12" x14ac:dyDescent="0.3">
      <c r="A4455" s="3"/>
      <c r="C4455" s="1"/>
      <c r="E4455" s="1"/>
      <c r="J4455" s="3"/>
      <c r="L4455" s="1"/>
    </row>
    <row r="4456" spans="1:12" x14ac:dyDescent="0.3">
      <c r="A4456" s="3"/>
      <c r="C4456" s="1"/>
      <c r="E4456" s="1"/>
      <c r="J4456" s="3"/>
      <c r="L4456" s="1"/>
    </row>
    <row r="4457" spans="1:12" x14ac:dyDescent="0.3">
      <c r="A4457" s="3"/>
      <c r="C4457" s="1"/>
      <c r="E4457" s="1"/>
      <c r="J4457" s="3"/>
      <c r="L4457" s="1"/>
    </row>
    <row r="4458" spans="1:12" x14ac:dyDescent="0.3">
      <c r="A4458" s="3"/>
      <c r="C4458" s="1"/>
      <c r="E4458" s="1"/>
      <c r="J4458" s="3"/>
      <c r="L4458" s="1"/>
    </row>
    <row r="4459" spans="1:12" x14ac:dyDescent="0.3">
      <c r="A4459" s="3"/>
      <c r="C4459" s="1"/>
      <c r="E4459" s="1"/>
      <c r="J4459" s="3"/>
      <c r="L4459" s="1"/>
    </row>
    <row r="4460" spans="1:12" x14ac:dyDescent="0.3">
      <c r="A4460" s="3"/>
      <c r="C4460" s="1"/>
      <c r="E4460" s="1"/>
      <c r="J4460" s="3"/>
      <c r="L4460" s="1"/>
    </row>
    <row r="4461" spans="1:12" x14ac:dyDescent="0.3">
      <c r="A4461" s="3"/>
      <c r="C4461" s="1"/>
      <c r="E4461" s="1"/>
      <c r="J4461" s="3"/>
      <c r="L4461" s="1"/>
    </row>
    <row r="4462" spans="1:12" x14ac:dyDescent="0.3">
      <c r="A4462" s="3"/>
      <c r="C4462" s="1"/>
      <c r="E4462" s="1"/>
      <c r="J4462" s="3"/>
      <c r="L4462" s="1"/>
    </row>
    <row r="4463" spans="1:12" x14ac:dyDescent="0.3">
      <c r="A4463" s="3"/>
      <c r="C4463" s="1"/>
      <c r="E4463" s="1"/>
      <c r="J4463" s="3"/>
      <c r="L4463" s="1"/>
    </row>
    <row r="4464" spans="1:12" x14ac:dyDescent="0.3">
      <c r="A4464" s="3"/>
      <c r="C4464" s="1"/>
      <c r="E4464" s="1"/>
      <c r="J4464" s="3"/>
      <c r="L4464" s="1"/>
    </row>
    <row r="4465" spans="1:12" x14ac:dyDescent="0.3">
      <c r="A4465" s="3"/>
      <c r="C4465" s="1"/>
      <c r="E4465" s="1"/>
      <c r="J4465" s="3"/>
      <c r="L4465" s="1"/>
    </row>
    <row r="4466" spans="1:12" x14ac:dyDescent="0.3">
      <c r="A4466" s="3"/>
      <c r="C4466" s="1"/>
      <c r="E4466" s="1"/>
      <c r="J4466" s="3"/>
      <c r="L4466" s="1"/>
    </row>
    <row r="4467" spans="1:12" x14ac:dyDescent="0.3">
      <c r="A4467" s="3"/>
      <c r="C4467" s="1"/>
      <c r="E4467" s="1"/>
      <c r="J4467" s="3"/>
      <c r="L4467" s="1"/>
    </row>
    <row r="4468" spans="1:12" x14ac:dyDescent="0.3">
      <c r="A4468" s="3"/>
      <c r="C4468" s="1"/>
      <c r="E4468" s="1"/>
      <c r="J4468" s="3"/>
      <c r="L4468" s="1"/>
    </row>
    <row r="4469" spans="1:12" x14ac:dyDescent="0.3">
      <c r="A4469" s="3"/>
      <c r="C4469" s="1"/>
      <c r="E4469" s="1"/>
      <c r="J4469" s="3"/>
      <c r="L4469" s="1"/>
    </row>
    <row r="4470" spans="1:12" x14ac:dyDescent="0.3">
      <c r="A4470" s="3"/>
      <c r="C4470" s="1"/>
      <c r="E4470" s="1"/>
      <c r="J4470" s="3"/>
      <c r="L4470" s="1"/>
    </row>
    <row r="4471" spans="1:12" x14ac:dyDescent="0.3">
      <c r="A4471" s="3"/>
      <c r="C4471" s="1"/>
      <c r="E4471" s="1"/>
      <c r="J4471" s="3"/>
      <c r="L4471" s="1"/>
    </row>
    <row r="4472" spans="1:12" x14ac:dyDescent="0.3">
      <c r="A4472" s="3"/>
      <c r="C4472" s="1"/>
      <c r="E4472" s="1"/>
      <c r="J4472" s="3"/>
      <c r="L4472" s="1"/>
    </row>
    <row r="4473" spans="1:12" x14ac:dyDescent="0.3">
      <c r="A4473" s="3"/>
      <c r="C4473" s="1"/>
      <c r="E4473" s="1"/>
      <c r="J4473" s="3"/>
      <c r="L4473" s="1"/>
    </row>
    <row r="4474" spans="1:12" x14ac:dyDescent="0.3">
      <c r="A4474" s="3"/>
      <c r="C4474" s="1"/>
      <c r="E4474" s="1"/>
      <c r="J4474" s="3"/>
      <c r="L4474" s="1"/>
    </row>
    <row r="4475" spans="1:12" x14ac:dyDescent="0.3">
      <c r="A4475" s="3"/>
      <c r="C4475" s="1"/>
      <c r="E4475" s="1"/>
      <c r="J4475" s="3"/>
      <c r="L4475" s="1"/>
    </row>
    <row r="4476" spans="1:12" x14ac:dyDescent="0.3">
      <c r="A4476" s="3"/>
      <c r="C4476" s="1"/>
      <c r="E4476" s="1"/>
      <c r="J4476" s="3"/>
      <c r="L4476" s="1"/>
    </row>
    <row r="4477" spans="1:12" x14ac:dyDescent="0.3">
      <c r="A4477" s="3"/>
      <c r="C4477" s="1"/>
      <c r="E4477" s="1"/>
      <c r="J4477" s="3"/>
      <c r="L4477" s="1"/>
    </row>
    <row r="4478" spans="1:12" x14ac:dyDescent="0.3">
      <c r="A4478" s="3"/>
      <c r="C4478" s="1"/>
      <c r="E4478" s="1"/>
      <c r="J4478" s="3"/>
      <c r="L4478" s="1"/>
    </row>
    <row r="4479" spans="1:12" x14ac:dyDescent="0.3">
      <c r="A4479" s="3"/>
      <c r="C4479" s="1"/>
      <c r="E4479" s="1"/>
      <c r="J4479" s="3"/>
      <c r="L4479" s="1"/>
    </row>
    <row r="4480" spans="1:12" x14ac:dyDescent="0.3">
      <c r="A4480" s="3"/>
      <c r="C4480" s="1"/>
      <c r="E4480" s="1"/>
      <c r="J4480" s="3"/>
      <c r="L4480" s="1"/>
    </row>
    <row r="4481" spans="1:12" x14ac:dyDescent="0.3">
      <c r="A4481" s="3"/>
      <c r="C4481" s="1"/>
      <c r="E4481" s="1"/>
      <c r="J4481" s="3"/>
      <c r="L4481" s="1"/>
    </row>
    <row r="4482" spans="1:12" x14ac:dyDescent="0.3">
      <c r="A4482" s="3"/>
      <c r="C4482" s="1"/>
      <c r="E4482" s="1"/>
      <c r="J4482" s="3"/>
      <c r="L4482" s="1"/>
    </row>
    <row r="4483" spans="1:12" x14ac:dyDescent="0.3">
      <c r="A4483" s="3"/>
      <c r="C4483" s="1"/>
      <c r="E4483" s="1"/>
      <c r="J4483" s="3"/>
      <c r="L4483" s="1"/>
    </row>
    <row r="4484" spans="1:12" x14ac:dyDescent="0.3">
      <c r="A4484" s="3"/>
      <c r="C4484" s="1"/>
      <c r="E4484" s="1"/>
      <c r="J4484" s="3"/>
      <c r="L4484" s="1"/>
    </row>
    <row r="4485" spans="1:12" x14ac:dyDescent="0.3">
      <c r="A4485" s="3"/>
      <c r="C4485" s="1"/>
      <c r="E4485" s="1"/>
      <c r="J4485" s="3"/>
      <c r="L4485" s="1"/>
    </row>
    <row r="4486" spans="1:12" x14ac:dyDescent="0.3">
      <c r="A4486" s="3"/>
      <c r="C4486" s="1"/>
      <c r="E4486" s="1"/>
      <c r="J4486" s="3"/>
      <c r="L4486" s="1"/>
    </row>
    <row r="4487" spans="1:12" x14ac:dyDescent="0.3">
      <c r="A4487" s="3"/>
      <c r="C4487" s="1"/>
      <c r="E4487" s="1"/>
      <c r="J4487" s="3"/>
      <c r="L4487" s="1"/>
    </row>
    <row r="4488" spans="1:12" x14ac:dyDescent="0.3">
      <c r="A4488" s="3"/>
      <c r="C4488" s="1"/>
      <c r="E4488" s="1"/>
      <c r="J4488" s="3"/>
      <c r="L4488" s="1"/>
    </row>
    <row r="4489" spans="1:12" x14ac:dyDescent="0.3">
      <c r="A4489" s="3"/>
      <c r="C4489" s="1"/>
      <c r="E4489" s="1"/>
      <c r="J4489" s="3"/>
      <c r="L4489" s="1"/>
    </row>
    <row r="4490" spans="1:12" x14ac:dyDescent="0.3">
      <c r="A4490" s="3"/>
      <c r="C4490" s="1"/>
      <c r="E4490" s="1"/>
      <c r="J4490" s="3"/>
      <c r="L4490" s="1"/>
    </row>
    <row r="4491" spans="1:12" x14ac:dyDescent="0.3">
      <c r="A4491" s="3"/>
      <c r="C4491" s="1"/>
      <c r="E4491" s="1"/>
      <c r="J4491" s="3"/>
      <c r="L4491" s="1"/>
    </row>
    <row r="4492" spans="1:12" x14ac:dyDescent="0.3">
      <c r="A4492" s="3"/>
      <c r="C4492" s="1"/>
      <c r="E4492" s="1"/>
      <c r="J4492" s="3"/>
      <c r="L4492" s="1"/>
    </row>
    <row r="4493" spans="1:12" x14ac:dyDescent="0.3">
      <c r="A4493" s="3"/>
      <c r="C4493" s="1"/>
      <c r="E4493" s="1"/>
      <c r="J4493" s="3"/>
      <c r="L4493" s="1"/>
    </row>
    <row r="4494" spans="1:12" x14ac:dyDescent="0.3">
      <c r="A4494" s="3"/>
      <c r="C4494" s="1"/>
      <c r="E4494" s="1"/>
      <c r="J4494" s="3"/>
      <c r="L4494" s="1"/>
    </row>
    <row r="4495" spans="1:12" x14ac:dyDescent="0.3">
      <c r="A4495" s="3"/>
      <c r="C4495" s="1"/>
      <c r="E4495" s="1"/>
      <c r="J4495" s="3"/>
      <c r="L4495" s="1"/>
    </row>
    <row r="4496" spans="1:12" x14ac:dyDescent="0.3">
      <c r="A4496" s="3"/>
      <c r="C4496" s="1"/>
      <c r="E4496" s="1"/>
      <c r="J4496" s="3"/>
      <c r="L4496" s="1"/>
    </row>
    <row r="4497" spans="1:12" x14ac:dyDescent="0.3">
      <c r="A4497" s="3"/>
      <c r="C4497" s="1"/>
      <c r="E4497" s="1"/>
      <c r="J4497" s="3"/>
      <c r="L4497" s="1"/>
    </row>
    <row r="4498" spans="1:12" x14ac:dyDescent="0.3">
      <c r="A4498" s="3"/>
      <c r="C4498" s="1"/>
      <c r="E4498" s="1"/>
      <c r="J4498" s="3"/>
      <c r="L4498" s="1"/>
    </row>
    <row r="4499" spans="1:12" x14ac:dyDescent="0.3">
      <c r="A4499" s="3"/>
      <c r="C4499" s="1"/>
      <c r="E4499" s="1"/>
      <c r="J4499" s="3"/>
      <c r="L4499" s="1"/>
    </row>
    <row r="4500" spans="1:12" x14ac:dyDescent="0.3">
      <c r="A4500" s="3"/>
      <c r="C4500" s="1"/>
      <c r="E4500" s="1"/>
      <c r="J4500" s="3"/>
      <c r="L4500" s="1"/>
    </row>
    <row r="4501" spans="1:12" x14ac:dyDescent="0.3">
      <c r="A4501" s="3"/>
      <c r="C4501" s="1"/>
      <c r="E4501" s="1"/>
      <c r="J4501" s="3"/>
      <c r="L4501" s="1"/>
    </row>
    <row r="4502" spans="1:12" x14ac:dyDescent="0.3">
      <c r="A4502" s="3"/>
      <c r="C4502" s="1"/>
      <c r="E4502" s="1"/>
      <c r="J4502" s="3"/>
      <c r="L4502" s="1"/>
    </row>
    <row r="4503" spans="1:12" x14ac:dyDescent="0.3">
      <c r="A4503" s="3"/>
      <c r="C4503" s="1"/>
      <c r="E4503" s="1"/>
      <c r="J4503" s="3"/>
      <c r="L4503" s="1"/>
    </row>
    <row r="4504" spans="1:12" x14ac:dyDescent="0.3">
      <c r="A4504" s="3"/>
      <c r="C4504" s="1"/>
      <c r="E4504" s="1"/>
      <c r="J4504" s="3"/>
      <c r="L4504" s="1"/>
    </row>
    <row r="4505" spans="1:12" x14ac:dyDescent="0.3">
      <c r="A4505" s="3"/>
      <c r="C4505" s="1"/>
      <c r="E4505" s="1"/>
      <c r="J4505" s="3"/>
      <c r="L4505" s="1"/>
    </row>
    <row r="4506" spans="1:12" x14ac:dyDescent="0.3">
      <c r="A4506" s="3"/>
      <c r="C4506" s="1"/>
      <c r="E4506" s="1"/>
      <c r="J4506" s="3"/>
      <c r="L4506" s="1"/>
    </row>
    <row r="4507" spans="1:12" x14ac:dyDescent="0.3">
      <c r="A4507" s="3"/>
      <c r="C4507" s="1"/>
      <c r="E4507" s="1"/>
      <c r="J4507" s="3"/>
      <c r="L4507" s="1"/>
    </row>
    <row r="4508" spans="1:12" x14ac:dyDescent="0.3">
      <c r="A4508" s="3"/>
      <c r="C4508" s="1"/>
      <c r="E4508" s="1"/>
      <c r="J4508" s="3"/>
      <c r="L4508" s="1"/>
    </row>
    <row r="4509" spans="1:12" x14ac:dyDescent="0.3">
      <c r="A4509" s="3"/>
      <c r="C4509" s="1"/>
      <c r="E4509" s="1"/>
      <c r="J4509" s="3"/>
      <c r="L4509" s="1"/>
    </row>
    <row r="4510" spans="1:12" x14ac:dyDescent="0.3">
      <c r="A4510" s="3"/>
      <c r="C4510" s="1"/>
      <c r="E4510" s="1"/>
      <c r="J4510" s="3"/>
      <c r="L4510" s="1"/>
    </row>
    <row r="4511" spans="1:12" x14ac:dyDescent="0.3">
      <c r="A4511" s="3"/>
      <c r="C4511" s="1"/>
      <c r="E4511" s="1"/>
      <c r="J4511" s="3"/>
      <c r="L4511" s="1"/>
    </row>
    <row r="4512" spans="1:12" x14ac:dyDescent="0.3">
      <c r="A4512" s="3"/>
      <c r="C4512" s="1"/>
      <c r="E4512" s="1"/>
      <c r="J4512" s="3"/>
      <c r="L4512" s="1"/>
    </row>
    <row r="4513" spans="1:12" x14ac:dyDescent="0.3">
      <c r="A4513" s="3"/>
      <c r="C4513" s="1"/>
      <c r="E4513" s="1"/>
      <c r="J4513" s="3"/>
      <c r="L4513" s="1"/>
    </row>
    <row r="4514" spans="1:12" x14ac:dyDescent="0.3">
      <c r="A4514" s="3"/>
      <c r="C4514" s="1"/>
      <c r="E4514" s="1"/>
      <c r="J4514" s="3"/>
      <c r="L4514" s="1"/>
    </row>
    <row r="4515" spans="1:12" x14ac:dyDescent="0.3">
      <c r="A4515" s="3"/>
      <c r="C4515" s="1"/>
      <c r="E4515" s="1"/>
      <c r="J4515" s="3"/>
      <c r="L4515" s="1"/>
    </row>
    <row r="4516" spans="1:12" x14ac:dyDescent="0.3">
      <c r="A4516" s="3"/>
      <c r="C4516" s="1"/>
      <c r="E4516" s="1"/>
      <c r="J4516" s="3"/>
      <c r="L4516" s="1"/>
    </row>
    <row r="4517" spans="1:12" x14ac:dyDescent="0.3">
      <c r="A4517" s="3"/>
      <c r="C4517" s="1"/>
      <c r="E4517" s="1"/>
      <c r="J4517" s="3"/>
      <c r="L4517" s="1"/>
    </row>
    <row r="4518" spans="1:12" x14ac:dyDescent="0.3">
      <c r="A4518" s="3"/>
      <c r="C4518" s="1"/>
      <c r="E4518" s="1"/>
      <c r="J4518" s="3"/>
      <c r="L4518" s="1"/>
    </row>
    <row r="4519" spans="1:12" x14ac:dyDescent="0.3">
      <c r="A4519" s="3"/>
      <c r="C4519" s="1"/>
      <c r="E4519" s="1"/>
      <c r="J4519" s="3"/>
      <c r="L4519" s="1"/>
    </row>
    <row r="4520" spans="1:12" x14ac:dyDescent="0.3">
      <c r="A4520" s="3"/>
      <c r="C4520" s="1"/>
      <c r="E4520" s="1"/>
      <c r="J4520" s="3"/>
      <c r="L4520" s="1"/>
    </row>
    <row r="4521" spans="1:12" x14ac:dyDescent="0.3">
      <c r="A4521" s="3"/>
      <c r="C4521" s="1"/>
      <c r="E4521" s="1"/>
      <c r="J4521" s="3"/>
      <c r="L4521" s="1"/>
    </row>
    <row r="4522" spans="1:12" x14ac:dyDescent="0.3">
      <c r="A4522" s="3"/>
      <c r="C4522" s="1"/>
      <c r="E4522" s="1"/>
      <c r="J4522" s="3"/>
      <c r="L4522" s="1"/>
    </row>
    <row r="4523" spans="1:12" x14ac:dyDescent="0.3">
      <c r="A4523" s="3"/>
      <c r="C4523" s="1"/>
      <c r="E4523" s="1"/>
      <c r="J4523" s="3"/>
      <c r="L4523" s="1"/>
    </row>
    <row r="4524" spans="1:12" x14ac:dyDescent="0.3">
      <c r="A4524" s="3"/>
      <c r="C4524" s="1"/>
      <c r="E4524" s="1"/>
      <c r="J4524" s="3"/>
      <c r="L4524" s="1"/>
    </row>
    <row r="4525" spans="1:12" x14ac:dyDescent="0.3">
      <c r="A4525" s="3"/>
      <c r="C4525" s="1"/>
      <c r="E4525" s="1"/>
      <c r="J4525" s="3"/>
      <c r="L4525" s="1"/>
    </row>
    <row r="4526" spans="1:12" x14ac:dyDescent="0.3">
      <c r="A4526" s="3"/>
      <c r="C4526" s="1"/>
      <c r="E4526" s="1"/>
      <c r="J4526" s="3"/>
      <c r="L4526" s="1"/>
    </row>
    <row r="4527" spans="1:12" x14ac:dyDescent="0.3">
      <c r="A4527" s="3"/>
      <c r="C4527" s="1"/>
      <c r="E4527" s="1"/>
      <c r="J4527" s="3"/>
      <c r="L4527" s="1"/>
    </row>
    <row r="4528" spans="1:12" x14ac:dyDescent="0.3">
      <c r="A4528" s="3"/>
      <c r="C4528" s="1"/>
      <c r="E4528" s="1"/>
      <c r="J4528" s="3"/>
      <c r="L4528" s="1"/>
    </row>
    <row r="4529" spans="1:12" x14ac:dyDescent="0.3">
      <c r="A4529" s="3"/>
      <c r="C4529" s="1"/>
      <c r="E4529" s="1"/>
      <c r="J4529" s="3"/>
      <c r="L4529" s="1"/>
    </row>
    <row r="4530" spans="1:12" x14ac:dyDescent="0.3">
      <c r="A4530" s="3"/>
      <c r="C4530" s="1"/>
      <c r="E4530" s="1"/>
      <c r="J4530" s="3"/>
      <c r="L4530" s="1"/>
    </row>
    <row r="4531" spans="1:12" x14ac:dyDescent="0.3">
      <c r="A4531" s="3"/>
      <c r="C4531" s="1"/>
      <c r="E4531" s="1"/>
      <c r="J4531" s="3"/>
      <c r="L4531" s="1"/>
    </row>
    <row r="4532" spans="1:12" x14ac:dyDescent="0.3">
      <c r="A4532" s="3"/>
      <c r="C4532" s="1"/>
      <c r="E4532" s="1"/>
      <c r="J4532" s="3"/>
      <c r="L4532" s="1"/>
    </row>
    <row r="4533" spans="1:12" x14ac:dyDescent="0.3">
      <c r="A4533" s="3"/>
      <c r="C4533" s="1"/>
      <c r="E4533" s="1"/>
      <c r="J4533" s="3"/>
      <c r="L4533" s="1"/>
    </row>
    <row r="4534" spans="1:12" x14ac:dyDescent="0.3">
      <c r="A4534" s="3"/>
      <c r="C4534" s="1"/>
      <c r="E4534" s="1"/>
      <c r="J4534" s="3"/>
      <c r="L4534" s="1"/>
    </row>
    <row r="4535" spans="1:12" x14ac:dyDescent="0.3">
      <c r="A4535" s="3"/>
      <c r="C4535" s="1"/>
      <c r="E4535" s="1"/>
      <c r="J4535" s="3"/>
      <c r="L4535" s="1"/>
    </row>
    <row r="4536" spans="1:12" x14ac:dyDescent="0.3">
      <c r="A4536" s="3"/>
      <c r="C4536" s="1"/>
      <c r="E4536" s="1"/>
      <c r="J4536" s="3"/>
      <c r="L4536" s="1"/>
    </row>
    <row r="4537" spans="1:12" x14ac:dyDescent="0.3">
      <c r="A4537" s="3"/>
      <c r="C4537" s="1"/>
      <c r="E4537" s="1"/>
      <c r="J4537" s="3"/>
      <c r="L4537" s="1"/>
    </row>
    <row r="4538" spans="1:12" x14ac:dyDescent="0.3">
      <c r="A4538" s="3"/>
      <c r="C4538" s="1"/>
      <c r="E4538" s="1"/>
      <c r="J4538" s="3"/>
      <c r="L4538" s="1"/>
    </row>
    <row r="4539" spans="1:12" x14ac:dyDescent="0.3">
      <c r="A4539" s="3"/>
      <c r="C4539" s="1"/>
      <c r="E4539" s="1"/>
      <c r="J4539" s="3"/>
      <c r="L4539" s="1"/>
    </row>
    <row r="4540" spans="1:12" x14ac:dyDescent="0.3">
      <c r="A4540" s="3"/>
      <c r="C4540" s="1"/>
      <c r="E4540" s="1"/>
      <c r="J4540" s="3"/>
      <c r="L4540" s="1"/>
    </row>
    <row r="4541" spans="1:12" x14ac:dyDescent="0.3">
      <c r="A4541" s="3"/>
      <c r="C4541" s="1"/>
      <c r="E4541" s="1"/>
      <c r="J4541" s="3"/>
      <c r="L4541" s="1"/>
    </row>
    <row r="4542" spans="1:12" x14ac:dyDescent="0.3">
      <c r="A4542" s="3"/>
      <c r="C4542" s="1"/>
      <c r="E4542" s="1"/>
      <c r="J4542" s="3"/>
      <c r="L4542" s="1"/>
    </row>
    <row r="4543" spans="1:12" x14ac:dyDescent="0.3">
      <c r="A4543" s="3"/>
      <c r="C4543" s="1"/>
      <c r="E4543" s="1"/>
      <c r="J4543" s="3"/>
      <c r="L4543" s="1"/>
    </row>
    <row r="4544" spans="1:12" x14ac:dyDescent="0.3">
      <c r="A4544" s="3"/>
      <c r="C4544" s="1"/>
      <c r="E4544" s="1"/>
      <c r="J4544" s="3"/>
      <c r="L4544" s="1"/>
    </row>
    <row r="4545" spans="1:12" x14ac:dyDescent="0.3">
      <c r="A4545" s="3"/>
      <c r="C4545" s="1"/>
      <c r="E4545" s="1"/>
      <c r="J4545" s="3"/>
      <c r="L4545" s="1"/>
    </row>
    <row r="4546" spans="1:12" x14ac:dyDescent="0.3">
      <c r="A4546" s="3"/>
      <c r="C4546" s="1"/>
      <c r="E4546" s="1"/>
      <c r="J4546" s="3"/>
      <c r="L4546" s="1"/>
    </row>
    <row r="4547" spans="1:12" x14ac:dyDescent="0.3">
      <c r="A4547" s="3"/>
      <c r="C4547" s="1"/>
      <c r="E4547" s="1"/>
      <c r="J4547" s="3"/>
      <c r="L4547" s="1"/>
    </row>
    <row r="4548" spans="1:12" x14ac:dyDescent="0.3">
      <c r="A4548" s="3"/>
      <c r="C4548" s="1"/>
      <c r="E4548" s="1"/>
      <c r="J4548" s="3"/>
      <c r="L4548" s="1"/>
    </row>
    <row r="4549" spans="1:12" x14ac:dyDescent="0.3">
      <c r="A4549" s="3"/>
      <c r="C4549" s="1"/>
      <c r="E4549" s="1"/>
      <c r="J4549" s="3"/>
      <c r="L4549" s="1"/>
    </row>
    <row r="4550" spans="1:12" x14ac:dyDescent="0.3">
      <c r="A4550" s="3"/>
      <c r="C4550" s="1"/>
      <c r="E4550" s="1"/>
      <c r="J4550" s="3"/>
      <c r="L4550" s="1"/>
    </row>
    <row r="4551" spans="1:12" x14ac:dyDescent="0.3">
      <c r="A4551" s="3"/>
      <c r="C4551" s="1"/>
      <c r="E4551" s="1"/>
      <c r="J4551" s="3"/>
      <c r="L4551" s="1"/>
    </row>
    <row r="4552" spans="1:12" x14ac:dyDescent="0.3">
      <c r="A4552" s="3"/>
      <c r="C4552" s="1"/>
      <c r="E4552" s="1"/>
      <c r="J4552" s="3"/>
      <c r="L4552" s="1"/>
    </row>
    <row r="4553" spans="1:12" x14ac:dyDescent="0.3">
      <c r="A4553" s="3"/>
      <c r="C4553" s="1"/>
      <c r="E4553" s="1"/>
      <c r="J4553" s="3"/>
      <c r="L4553" s="1"/>
    </row>
    <row r="4554" spans="1:12" x14ac:dyDescent="0.3">
      <c r="A4554" s="3"/>
      <c r="C4554" s="1"/>
      <c r="E4554" s="1"/>
      <c r="J4554" s="3"/>
      <c r="L4554" s="1"/>
    </row>
    <row r="4555" spans="1:12" x14ac:dyDescent="0.3">
      <c r="A4555" s="3"/>
      <c r="C4555" s="1"/>
      <c r="E4555" s="1"/>
      <c r="J4555" s="3"/>
      <c r="L4555" s="1"/>
    </row>
    <row r="4556" spans="1:12" x14ac:dyDescent="0.3">
      <c r="A4556" s="3"/>
      <c r="C4556" s="1"/>
      <c r="E4556" s="1"/>
      <c r="J4556" s="3"/>
      <c r="L4556" s="1"/>
    </row>
    <row r="4557" spans="1:12" x14ac:dyDescent="0.3">
      <c r="A4557" s="3"/>
      <c r="C4557" s="1"/>
      <c r="E4557" s="1"/>
      <c r="J4557" s="3"/>
      <c r="L4557" s="1"/>
    </row>
    <row r="4558" spans="1:12" x14ac:dyDescent="0.3">
      <c r="A4558" s="3"/>
      <c r="C4558" s="1"/>
      <c r="E4558" s="1"/>
      <c r="J4558" s="3"/>
      <c r="L4558" s="1"/>
    </row>
    <row r="4559" spans="1:12" x14ac:dyDescent="0.3">
      <c r="A4559" s="3"/>
      <c r="C4559" s="1"/>
      <c r="E4559" s="1"/>
      <c r="J4559" s="3"/>
      <c r="L4559" s="1"/>
    </row>
    <row r="4560" spans="1:12" x14ac:dyDescent="0.3">
      <c r="A4560" s="3"/>
      <c r="C4560" s="1"/>
      <c r="E4560" s="1"/>
      <c r="J4560" s="3"/>
      <c r="L4560" s="1"/>
    </row>
    <row r="4561" spans="1:12" x14ac:dyDescent="0.3">
      <c r="A4561" s="3"/>
      <c r="C4561" s="1"/>
      <c r="E4561" s="1"/>
      <c r="J4561" s="3"/>
      <c r="L4561" s="1"/>
    </row>
    <row r="4562" spans="1:12" x14ac:dyDescent="0.3">
      <c r="A4562" s="3"/>
      <c r="C4562" s="1"/>
      <c r="E4562" s="1"/>
      <c r="J4562" s="3"/>
      <c r="L4562" s="1"/>
    </row>
    <row r="4563" spans="1:12" x14ac:dyDescent="0.3">
      <c r="A4563" s="3"/>
      <c r="C4563" s="1"/>
      <c r="E4563" s="1"/>
      <c r="J4563" s="3"/>
      <c r="L4563" s="1"/>
    </row>
    <row r="4564" spans="1:12" x14ac:dyDescent="0.3">
      <c r="A4564" s="3"/>
      <c r="C4564" s="1"/>
      <c r="E4564" s="1"/>
      <c r="J4564" s="3"/>
      <c r="L4564" s="1"/>
    </row>
    <row r="4565" spans="1:12" x14ac:dyDescent="0.3">
      <c r="A4565" s="3"/>
      <c r="C4565" s="1"/>
      <c r="E4565" s="1"/>
      <c r="J4565" s="3"/>
      <c r="L4565" s="1"/>
    </row>
    <row r="4566" spans="1:12" x14ac:dyDescent="0.3">
      <c r="A4566" s="3"/>
      <c r="C4566" s="1"/>
      <c r="E4566" s="1"/>
      <c r="J4566" s="3"/>
      <c r="L4566" s="1"/>
    </row>
    <row r="4567" spans="1:12" x14ac:dyDescent="0.3">
      <c r="A4567" s="3"/>
      <c r="C4567" s="1"/>
      <c r="E4567" s="1"/>
      <c r="J4567" s="3"/>
      <c r="L4567" s="1"/>
    </row>
    <row r="4568" spans="1:12" x14ac:dyDescent="0.3">
      <c r="A4568" s="3"/>
      <c r="C4568" s="1"/>
      <c r="E4568" s="1"/>
      <c r="J4568" s="3"/>
      <c r="L4568" s="1"/>
    </row>
    <row r="4569" spans="1:12" x14ac:dyDescent="0.3">
      <c r="A4569" s="3"/>
      <c r="C4569" s="1"/>
      <c r="E4569" s="1"/>
      <c r="J4569" s="3"/>
      <c r="L4569" s="1"/>
    </row>
    <row r="4570" spans="1:12" x14ac:dyDescent="0.3">
      <c r="A4570" s="3"/>
      <c r="C4570" s="1"/>
      <c r="E4570" s="1"/>
      <c r="J4570" s="3"/>
      <c r="L4570" s="1"/>
    </row>
    <row r="4571" spans="1:12" x14ac:dyDescent="0.3">
      <c r="A4571" s="3"/>
      <c r="C4571" s="1"/>
      <c r="E4571" s="1"/>
      <c r="J4571" s="3"/>
      <c r="L4571" s="1"/>
    </row>
    <row r="4572" spans="1:12" x14ac:dyDescent="0.3">
      <c r="A4572" s="3"/>
      <c r="C4572" s="1"/>
      <c r="E4572" s="1"/>
      <c r="J4572" s="3"/>
      <c r="L4572" s="1"/>
    </row>
    <row r="4573" spans="1:12" x14ac:dyDescent="0.3">
      <c r="A4573" s="3"/>
      <c r="C4573" s="1"/>
      <c r="E4573" s="1"/>
      <c r="J4573" s="3"/>
      <c r="L4573" s="1"/>
    </row>
    <row r="4574" spans="1:12" x14ac:dyDescent="0.3">
      <c r="A4574" s="3"/>
      <c r="C4574" s="1"/>
      <c r="E4574" s="1"/>
      <c r="J4574" s="3"/>
      <c r="L4574" s="1"/>
    </row>
    <row r="4575" spans="1:12" x14ac:dyDescent="0.3">
      <c r="A4575" s="3"/>
      <c r="C4575" s="1"/>
      <c r="E4575" s="1"/>
      <c r="J4575" s="3"/>
      <c r="L4575" s="1"/>
    </row>
    <row r="4576" spans="1:12" x14ac:dyDescent="0.3">
      <c r="A4576" s="3"/>
      <c r="C4576" s="1"/>
      <c r="E4576" s="1"/>
      <c r="J4576" s="3"/>
      <c r="L4576" s="1"/>
    </row>
    <row r="4577" spans="1:12" x14ac:dyDescent="0.3">
      <c r="A4577" s="3"/>
      <c r="C4577" s="1"/>
      <c r="E4577" s="1"/>
      <c r="J4577" s="3"/>
      <c r="L4577" s="1"/>
    </row>
    <row r="4578" spans="1:12" x14ac:dyDescent="0.3">
      <c r="A4578" s="3"/>
      <c r="C4578" s="1"/>
      <c r="E4578" s="1"/>
      <c r="J4578" s="3"/>
      <c r="L4578" s="1"/>
    </row>
    <row r="4579" spans="1:12" x14ac:dyDescent="0.3">
      <c r="A4579" s="3"/>
      <c r="C4579" s="1"/>
      <c r="E4579" s="1"/>
      <c r="J4579" s="3"/>
      <c r="L4579" s="1"/>
    </row>
    <row r="4580" spans="1:12" x14ac:dyDescent="0.3">
      <c r="A4580" s="3"/>
      <c r="C4580" s="1"/>
      <c r="E4580" s="1"/>
      <c r="J4580" s="3"/>
      <c r="L4580" s="1"/>
    </row>
    <row r="4581" spans="1:12" x14ac:dyDescent="0.3">
      <c r="A4581" s="3"/>
      <c r="C4581" s="1"/>
      <c r="E4581" s="1"/>
      <c r="J4581" s="3"/>
      <c r="L4581" s="1"/>
    </row>
    <row r="4582" spans="1:12" x14ac:dyDescent="0.3">
      <c r="A4582" s="3"/>
      <c r="C4582" s="1"/>
      <c r="E4582" s="1"/>
      <c r="J4582" s="3"/>
      <c r="L4582" s="1"/>
    </row>
    <row r="4583" spans="1:12" x14ac:dyDescent="0.3">
      <c r="A4583" s="3"/>
      <c r="C4583" s="1"/>
      <c r="E4583" s="1"/>
      <c r="J4583" s="3"/>
      <c r="L4583" s="1"/>
    </row>
    <row r="4584" spans="1:12" x14ac:dyDescent="0.3">
      <c r="A4584" s="3"/>
      <c r="C4584" s="1"/>
      <c r="E4584" s="1"/>
      <c r="J4584" s="3"/>
      <c r="L4584" s="1"/>
    </row>
    <row r="4585" spans="1:12" x14ac:dyDescent="0.3">
      <c r="A4585" s="3"/>
      <c r="C4585" s="1"/>
      <c r="E4585" s="1"/>
      <c r="J4585" s="3"/>
      <c r="L4585" s="1"/>
    </row>
    <row r="4586" spans="1:12" x14ac:dyDescent="0.3">
      <c r="A4586" s="3"/>
      <c r="C4586" s="1"/>
      <c r="E4586" s="1"/>
      <c r="J4586" s="3"/>
      <c r="L4586" s="1"/>
    </row>
    <row r="4587" spans="1:12" x14ac:dyDescent="0.3">
      <c r="A4587" s="3"/>
      <c r="C4587" s="1"/>
      <c r="E4587" s="1"/>
      <c r="J4587" s="3"/>
      <c r="L4587" s="1"/>
    </row>
    <row r="4588" spans="1:12" x14ac:dyDescent="0.3">
      <c r="A4588" s="3"/>
      <c r="C4588" s="1"/>
      <c r="E4588" s="1"/>
      <c r="J4588" s="3"/>
      <c r="L4588" s="1"/>
    </row>
    <row r="4589" spans="1:12" x14ac:dyDescent="0.3">
      <c r="A4589" s="3"/>
      <c r="C4589" s="1"/>
      <c r="E4589" s="1"/>
      <c r="J4589" s="3"/>
      <c r="L4589" s="1"/>
    </row>
    <row r="4590" spans="1:12" x14ac:dyDescent="0.3">
      <c r="A4590" s="3"/>
      <c r="C4590" s="1"/>
      <c r="E4590" s="1"/>
      <c r="J4590" s="3"/>
      <c r="L4590" s="1"/>
    </row>
    <row r="4591" spans="1:12" x14ac:dyDescent="0.3">
      <c r="A4591" s="3"/>
      <c r="C4591" s="1"/>
      <c r="E4591" s="1"/>
      <c r="J4591" s="3"/>
      <c r="L4591" s="1"/>
    </row>
    <row r="4592" spans="1:12" x14ac:dyDescent="0.3">
      <c r="A4592" s="3"/>
      <c r="C4592" s="1"/>
      <c r="E4592" s="1"/>
      <c r="J4592" s="3"/>
      <c r="L4592" s="1"/>
    </row>
    <row r="4593" spans="1:12" x14ac:dyDescent="0.3">
      <c r="A4593" s="3"/>
      <c r="C4593" s="1"/>
      <c r="E4593" s="1"/>
      <c r="J4593" s="3"/>
      <c r="L4593" s="1"/>
    </row>
    <row r="4594" spans="1:12" x14ac:dyDescent="0.3">
      <c r="A4594" s="3"/>
      <c r="C4594" s="1"/>
      <c r="E4594" s="1"/>
      <c r="J4594" s="3"/>
      <c r="L4594" s="1"/>
    </row>
    <row r="4595" spans="1:12" x14ac:dyDescent="0.3">
      <c r="A4595" s="3"/>
      <c r="C4595" s="1"/>
      <c r="E4595" s="1"/>
      <c r="J4595" s="3"/>
      <c r="L4595" s="1"/>
    </row>
    <row r="4596" spans="1:12" x14ac:dyDescent="0.3">
      <c r="A4596" s="3"/>
      <c r="C4596" s="1"/>
      <c r="E4596" s="1"/>
      <c r="J4596" s="3"/>
      <c r="L4596" s="1"/>
    </row>
    <row r="4597" spans="1:12" x14ac:dyDescent="0.3">
      <c r="A4597" s="3"/>
      <c r="C4597" s="1"/>
      <c r="E4597" s="1"/>
      <c r="J4597" s="3"/>
      <c r="L4597" s="1"/>
    </row>
    <row r="4598" spans="1:12" x14ac:dyDescent="0.3">
      <c r="A4598" s="3"/>
      <c r="C4598" s="1"/>
      <c r="E4598" s="1"/>
      <c r="J4598" s="3"/>
      <c r="L4598" s="1"/>
    </row>
    <row r="4599" spans="1:12" x14ac:dyDescent="0.3">
      <c r="A4599" s="3"/>
      <c r="C4599" s="1"/>
      <c r="E4599" s="1"/>
      <c r="J4599" s="3"/>
      <c r="L4599" s="1"/>
    </row>
    <row r="4600" spans="1:12" x14ac:dyDescent="0.3">
      <c r="A4600" s="3"/>
      <c r="C4600" s="1"/>
      <c r="E4600" s="1"/>
      <c r="J4600" s="3"/>
      <c r="L4600" s="1"/>
    </row>
    <row r="4601" spans="1:12" x14ac:dyDescent="0.3">
      <c r="A4601" s="3"/>
      <c r="C4601" s="1"/>
      <c r="E4601" s="1"/>
      <c r="J4601" s="3"/>
      <c r="L4601" s="1"/>
    </row>
    <row r="4602" spans="1:12" x14ac:dyDescent="0.3">
      <c r="A4602" s="3"/>
      <c r="C4602" s="1"/>
      <c r="E4602" s="1"/>
      <c r="J4602" s="3"/>
      <c r="L4602" s="1"/>
    </row>
    <row r="4603" spans="1:12" x14ac:dyDescent="0.3">
      <c r="A4603" s="3"/>
      <c r="C4603" s="1"/>
      <c r="E4603" s="1"/>
      <c r="J4603" s="3"/>
      <c r="L4603" s="1"/>
    </row>
    <row r="4604" spans="1:12" x14ac:dyDescent="0.3">
      <c r="A4604" s="3"/>
      <c r="C4604" s="1"/>
      <c r="E4604" s="1"/>
      <c r="J4604" s="3"/>
      <c r="L4604" s="1"/>
    </row>
    <row r="4605" spans="1:12" x14ac:dyDescent="0.3">
      <c r="A4605" s="3"/>
      <c r="C4605" s="1"/>
      <c r="E4605" s="1"/>
      <c r="J4605" s="3"/>
      <c r="L4605" s="1"/>
    </row>
    <row r="4606" spans="1:12" x14ac:dyDescent="0.3">
      <c r="A4606" s="3"/>
      <c r="C4606" s="1"/>
      <c r="E4606" s="1"/>
      <c r="J4606" s="3"/>
      <c r="L4606" s="1"/>
    </row>
    <row r="4607" spans="1:12" x14ac:dyDescent="0.3">
      <c r="A4607" s="3"/>
      <c r="C4607" s="1"/>
      <c r="E4607" s="1"/>
      <c r="J4607" s="3"/>
      <c r="L4607" s="1"/>
    </row>
    <row r="4608" spans="1:12" x14ac:dyDescent="0.3">
      <c r="A4608" s="3"/>
      <c r="C4608" s="1"/>
      <c r="E4608" s="1"/>
      <c r="J4608" s="3"/>
      <c r="L4608" s="1"/>
    </row>
    <row r="4609" spans="1:12" x14ac:dyDescent="0.3">
      <c r="A4609" s="3"/>
      <c r="C4609" s="1"/>
      <c r="E4609" s="1"/>
      <c r="J4609" s="3"/>
      <c r="L4609" s="1"/>
    </row>
    <row r="4610" spans="1:12" x14ac:dyDescent="0.3">
      <c r="A4610" s="3"/>
      <c r="C4610" s="1"/>
      <c r="E4610" s="1"/>
      <c r="J4610" s="3"/>
      <c r="L4610" s="1"/>
    </row>
    <row r="4611" spans="1:12" x14ac:dyDescent="0.3">
      <c r="A4611" s="3"/>
      <c r="C4611" s="1"/>
      <c r="E4611" s="1"/>
      <c r="J4611" s="3"/>
      <c r="L4611" s="1"/>
    </row>
    <row r="4612" spans="1:12" x14ac:dyDescent="0.3">
      <c r="A4612" s="3"/>
      <c r="C4612" s="1"/>
      <c r="E4612" s="1"/>
      <c r="J4612" s="3"/>
      <c r="L4612" s="1"/>
    </row>
    <row r="4613" spans="1:12" x14ac:dyDescent="0.3">
      <c r="A4613" s="3"/>
      <c r="C4613" s="1"/>
      <c r="E4613" s="1"/>
      <c r="J4613" s="3"/>
      <c r="L4613" s="1"/>
    </row>
    <row r="4614" spans="1:12" x14ac:dyDescent="0.3">
      <c r="A4614" s="3"/>
      <c r="C4614" s="1"/>
      <c r="E4614" s="1"/>
      <c r="J4614" s="3"/>
      <c r="L4614" s="1"/>
    </row>
    <row r="4615" spans="1:12" x14ac:dyDescent="0.3">
      <c r="A4615" s="3"/>
      <c r="C4615" s="1"/>
      <c r="E4615" s="1"/>
      <c r="J4615" s="3"/>
      <c r="L4615" s="1"/>
    </row>
    <row r="4616" spans="1:12" x14ac:dyDescent="0.3">
      <c r="A4616" s="3"/>
      <c r="C4616" s="1"/>
      <c r="E4616" s="1"/>
      <c r="J4616" s="3"/>
      <c r="L4616" s="1"/>
    </row>
    <row r="4617" spans="1:12" x14ac:dyDescent="0.3">
      <c r="A4617" s="3"/>
      <c r="C4617" s="1"/>
      <c r="E4617" s="1"/>
      <c r="J4617" s="3"/>
      <c r="L4617" s="1"/>
    </row>
    <row r="4618" spans="1:12" x14ac:dyDescent="0.3">
      <c r="A4618" s="3"/>
      <c r="C4618" s="1"/>
      <c r="E4618" s="1"/>
      <c r="J4618" s="3"/>
      <c r="L4618" s="1"/>
    </row>
    <row r="4619" spans="1:12" x14ac:dyDescent="0.3">
      <c r="A4619" s="3"/>
      <c r="C4619" s="1"/>
      <c r="E4619" s="1"/>
      <c r="J4619" s="3"/>
      <c r="L4619" s="1"/>
    </row>
    <row r="4620" spans="1:12" x14ac:dyDescent="0.3">
      <c r="A4620" s="3"/>
      <c r="C4620" s="1"/>
      <c r="E4620" s="1"/>
      <c r="J4620" s="3"/>
      <c r="L4620" s="1"/>
    </row>
    <row r="4621" spans="1:12" x14ac:dyDescent="0.3">
      <c r="A4621" s="3"/>
      <c r="C4621" s="1"/>
      <c r="E4621" s="1"/>
      <c r="J4621" s="3"/>
      <c r="L4621" s="1"/>
    </row>
    <row r="4622" spans="1:12" x14ac:dyDescent="0.3">
      <c r="A4622" s="3"/>
      <c r="C4622" s="1"/>
      <c r="E4622" s="1"/>
      <c r="J4622" s="3"/>
      <c r="L4622" s="1"/>
    </row>
    <row r="4623" spans="1:12" x14ac:dyDescent="0.3">
      <c r="A4623" s="3"/>
      <c r="C4623" s="1"/>
      <c r="E4623" s="1"/>
      <c r="J4623" s="3"/>
      <c r="L4623" s="1"/>
    </row>
    <row r="4624" spans="1:12" x14ac:dyDescent="0.3">
      <c r="A4624" s="3"/>
      <c r="C4624" s="1"/>
      <c r="E4624" s="1"/>
      <c r="J4624" s="3"/>
      <c r="L4624" s="1"/>
    </row>
    <row r="4625" spans="1:12" x14ac:dyDescent="0.3">
      <c r="A4625" s="3"/>
      <c r="C4625" s="1"/>
      <c r="E4625" s="1"/>
      <c r="J4625" s="3"/>
      <c r="L4625" s="1"/>
    </row>
    <row r="4626" spans="1:12" x14ac:dyDescent="0.3">
      <c r="A4626" s="3"/>
      <c r="C4626" s="1"/>
      <c r="E4626" s="1"/>
      <c r="J4626" s="3"/>
      <c r="L4626" s="1"/>
    </row>
    <row r="4627" spans="1:12" x14ac:dyDescent="0.3">
      <c r="A4627" s="3"/>
      <c r="C4627" s="1"/>
      <c r="E4627" s="1"/>
      <c r="J4627" s="3"/>
      <c r="L4627" s="1"/>
    </row>
    <row r="4628" spans="1:12" x14ac:dyDescent="0.3">
      <c r="A4628" s="3"/>
      <c r="C4628" s="1"/>
      <c r="E4628" s="1"/>
      <c r="J4628" s="3"/>
      <c r="L4628" s="1"/>
    </row>
    <row r="4629" spans="1:12" x14ac:dyDescent="0.3">
      <c r="A4629" s="3"/>
      <c r="C4629" s="1"/>
      <c r="E4629" s="1"/>
      <c r="J4629" s="3"/>
      <c r="L4629" s="1"/>
    </row>
    <row r="4630" spans="1:12" x14ac:dyDescent="0.3">
      <c r="A4630" s="3"/>
      <c r="C4630" s="1"/>
      <c r="E4630" s="1"/>
      <c r="J4630" s="3"/>
      <c r="L4630" s="1"/>
    </row>
    <row r="4631" spans="1:12" x14ac:dyDescent="0.3">
      <c r="A4631" s="3"/>
      <c r="C4631" s="1"/>
      <c r="E4631" s="1"/>
      <c r="J4631" s="3"/>
      <c r="L4631" s="1"/>
    </row>
    <row r="4632" spans="1:12" x14ac:dyDescent="0.3">
      <c r="A4632" s="3"/>
      <c r="C4632" s="1"/>
      <c r="E4632" s="1"/>
      <c r="J4632" s="3"/>
      <c r="L4632" s="1"/>
    </row>
    <row r="4633" spans="1:12" x14ac:dyDescent="0.3">
      <c r="A4633" s="3"/>
      <c r="C4633" s="1"/>
      <c r="E4633" s="1"/>
      <c r="J4633" s="3"/>
      <c r="L4633" s="1"/>
    </row>
    <row r="4634" spans="1:12" x14ac:dyDescent="0.3">
      <c r="A4634" s="3"/>
      <c r="C4634" s="1"/>
      <c r="E4634" s="1"/>
      <c r="J4634" s="3"/>
      <c r="L4634" s="1"/>
    </row>
    <row r="4635" spans="1:12" x14ac:dyDescent="0.3">
      <c r="A4635" s="3"/>
      <c r="C4635" s="1"/>
      <c r="E4635" s="1"/>
      <c r="J4635" s="3"/>
      <c r="L4635" s="1"/>
    </row>
    <row r="4636" spans="1:12" x14ac:dyDescent="0.3">
      <c r="A4636" s="3"/>
      <c r="C4636" s="1"/>
      <c r="E4636" s="1"/>
      <c r="J4636" s="3"/>
      <c r="L4636" s="1"/>
    </row>
    <row r="4637" spans="1:12" x14ac:dyDescent="0.3">
      <c r="A4637" s="3"/>
      <c r="C4637" s="1"/>
      <c r="E4637" s="1"/>
      <c r="J4637" s="3"/>
      <c r="L4637" s="1"/>
    </row>
    <row r="4638" spans="1:12" x14ac:dyDescent="0.3">
      <c r="A4638" s="3"/>
      <c r="C4638" s="1"/>
      <c r="E4638" s="1"/>
      <c r="J4638" s="3"/>
      <c r="L4638" s="1"/>
    </row>
    <row r="4639" spans="1:12" x14ac:dyDescent="0.3">
      <c r="A4639" s="3"/>
      <c r="C4639" s="1"/>
      <c r="E4639" s="1"/>
      <c r="J4639" s="3"/>
      <c r="L4639" s="1"/>
    </row>
    <row r="4640" spans="1:12" x14ac:dyDescent="0.3">
      <c r="A4640" s="3"/>
      <c r="C4640" s="1"/>
      <c r="E4640" s="1"/>
      <c r="J4640" s="3"/>
      <c r="L4640" s="1"/>
    </row>
    <row r="4641" spans="1:12" x14ac:dyDescent="0.3">
      <c r="A4641" s="3"/>
      <c r="C4641" s="1"/>
      <c r="E4641" s="1"/>
      <c r="J4641" s="3"/>
      <c r="L4641" s="1"/>
    </row>
    <row r="4642" spans="1:12" x14ac:dyDescent="0.3">
      <c r="A4642" s="3"/>
      <c r="C4642" s="1"/>
      <c r="E4642" s="1"/>
      <c r="J4642" s="3"/>
      <c r="L4642" s="1"/>
    </row>
    <row r="4643" spans="1:12" x14ac:dyDescent="0.3">
      <c r="A4643" s="3"/>
      <c r="C4643" s="1"/>
      <c r="E4643" s="1"/>
      <c r="J4643" s="3"/>
      <c r="L4643" s="1"/>
    </row>
    <row r="4644" spans="1:12" x14ac:dyDescent="0.3">
      <c r="A4644" s="3"/>
      <c r="C4644" s="1"/>
      <c r="E4644" s="1"/>
      <c r="J4644" s="3"/>
      <c r="L4644" s="1"/>
    </row>
    <row r="4645" spans="1:12" x14ac:dyDescent="0.3">
      <c r="A4645" s="3"/>
      <c r="C4645" s="1"/>
      <c r="E4645" s="1"/>
      <c r="J4645" s="3"/>
      <c r="L4645" s="1"/>
    </row>
    <row r="4646" spans="1:12" x14ac:dyDescent="0.3">
      <c r="A4646" s="3"/>
      <c r="C4646" s="1"/>
      <c r="E4646" s="1"/>
      <c r="J4646" s="3"/>
      <c r="L4646" s="1"/>
    </row>
    <row r="4647" spans="1:12" x14ac:dyDescent="0.3">
      <c r="A4647" s="3"/>
      <c r="C4647" s="1"/>
      <c r="E4647" s="1"/>
      <c r="J4647" s="3"/>
      <c r="L4647" s="1"/>
    </row>
    <row r="4648" spans="1:12" x14ac:dyDescent="0.3">
      <c r="A4648" s="3"/>
      <c r="C4648" s="1"/>
      <c r="E4648" s="1"/>
      <c r="J4648" s="3"/>
      <c r="L4648" s="1"/>
    </row>
    <row r="4649" spans="1:12" x14ac:dyDescent="0.3">
      <c r="A4649" s="3"/>
      <c r="C4649" s="1"/>
      <c r="E4649" s="1"/>
      <c r="J4649" s="3"/>
      <c r="L4649" s="1"/>
    </row>
    <row r="4650" spans="1:12" x14ac:dyDescent="0.3">
      <c r="A4650" s="3"/>
      <c r="C4650" s="1"/>
      <c r="E4650" s="1"/>
      <c r="J4650" s="3"/>
      <c r="L4650" s="1"/>
    </row>
    <row r="4651" spans="1:12" x14ac:dyDescent="0.3">
      <c r="A4651" s="3"/>
      <c r="C4651" s="1"/>
      <c r="E4651" s="1"/>
      <c r="J4651" s="3"/>
      <c r="L4651" s="1"/>
    </row>
    <row r="4652" spans="1:12" x14ac:dyDescent="0.3">
      <c r="A4652" s="3"/>
      <c r="C4652" s="1"/>
      <c r="E4652" s="1"/>
      <c r="J4652" s="3"/>
      <c r="L4652" s="1"/>
    </row>
    <row r="4653" spans="1:12" x14ac:dyDescent="0.3">
      <c r="A4653" s="3"/>
      <c r="C4653" s="1"/>
      <c r="E4653" s="1"/>
      <c r="J4653" s="3"/>
      <c r="L4653" s="1"/>
    </row>
    <row r="4654" spans="1:12" x14ac:dyDescent="0.3">
      <c r="A4654" s="3"/>
      <c r="C4654" s="1"/>
      <c r="E4654" s="1"/>
      <c r="J4654" s="3"/>
      <c r="L4654" s="1"/>
    </row>
    <row r="4655" spans="1:12" x14ac:dyDescent="0.3">
      <c r="A4655" s="3"/>
      <c r="C4655" s="1"/>
      <c r="E4655" s="1"/>
      <c r="J4655" s="3"/>
      <c r="L4655" s="1"/>
    </row>
    <row r="4656" spans="1:12" x14ac:dyDescent="0.3">
      <c r="A4656" s="3"/>
      <c r="C4656" s="1"/>
      <c r="E4656" s="1"/>
      <c r="J4656" s="3"/>
      <c r="L4656" s="1"/>
    </row>
    <row r="4657" spans="1:12" x14ac:dyDescent="0.3">
      <c r="A4657" s="3"/>
      <c r="C4657" s="1"/>
      <c r="E4657" s="1"/>
      <c r="J4657" s="3"/>
      <c r="L4657" s="1"/>
    </row>
    <row r="4658" spans="1:12" x14ac:dyDescent="0.3">
      <c r="A4658" s="3"/>
      <c r="C4658" s="1"/>
      <c r="E4658" s="1"/>
      <c r="J4658" s="3"/>
      <c r="L4658" s="1"/>
    </row>
    <row r="4659" spans="1:12" x14ac:dyDescent="0.3">
      <c r="A4659" s="3"/>
      <c r="C4659" s="1"/>
      <c r="E4659" s="1"/>
      <c r="J4659" s="3"/>
      <c r="L4659" s="1"/>
    </row>
    <row r="4660" spans="1:12" x14ac:dyDescent="0.3">
      <c r="A4660" s="3"/>
      <c r="C4660" s="1"/>
      <c r="E4660" s="1"/>
      <c r="J4660" s="3"/>
      <c r="L4660" s="1"/>
    </row>
    <row r="4661" spans="1:12" x14ac:dyDescent="0.3">
      <c r="A4661" s="3"/>
      <c r="C4661" s="1"/>
      <c r="E4661" s="1"/>
      <c r="J4661" s="3"/>
      <c r="L4661" s="1"/>
    </row>
    <row r="4662" spans="1:12" x14ac:dyDescent="0.3">
      <c r="A4662" s="3"/>
      <c r="C4662" s="1"/>
      <c r="E4662" s="1"/>
      <c r="J4662" s="3"/>
      <c r="L4662" s="1"/>
    </row>
    <row r="4663" spans="1:12" x14ac:dyDescent="0.3">
      <c r="A4663" s="3"/>
      <c r="C4663" s="1"/>
      <c r="E4663" s="1"/>
      <c r="J4663" s="3"/>
      <c r="L4663" s="1"/>
    </row>
    <row r="4664" spans="1:12" x14ac:dyDescent="0.3">
      <c r="A4664" s="3"/>
      <c r="C4664" s="1"/>
      <c r="E4664" s="1"/>
      <c r="J4664" s="3"/>
      <c r="L4664" s="1"/>
    </row>
    <row r="4665" spans="1:12" x14ac:dyDescent="0.3">
      <c r="A4665" s="3"/>
      <c r="C4665" s="1"/>
      <c r="E4665" s="1"/>
      <c r="J4665" s="3"/>
      <c r="L4665" s="1"/>
    </row>
    <row r="4666" spans="1:12" x14ac:dyDescent="0.3">
      <c r="A4666" s="3"/>
      <c r="C4666" s="1"/>
      <c r="E4666" s="1"/>
      <c r="J4666" s="3"/>
      <c r="L4666" s="1"/>
    </row>
    <row r="4667" spans="1:12" x14ac:dyDescent="0.3">
      <c r="A4667" s="3"/>
      <c r="C4667" s="1"/>
      <c r="E4667" s="1"/>
      <c r="J4667" s="3"/>
      <c r="L4667" s="1"/>
    </row>
    <row r="4668" spans="1:12" x14ac:dyDescent="0.3">
      <c r="A4668" s="3"/>
      <c r="C4668" s="1"/>
      <c r="E4668" s="1"/>
      <c r="J4668" s="3"/>
      <c r="L4668" s="1"/>
    </row>
    <row r="4669" spans="1:12" x14ac:dyDescent="0.3">
      <c r="A4669" s="3"/>
      <c r="C4669" s="1"/>
      <c r="E4669" s="1"/>
      <c r="J4669" s="3"/>
      <c r="L4669" s="1"/>
    </row>
    <row r="4670" spans="1:12" x14ac:dyDescent="0.3">
      <c r="A4670" s="3"/>
      <c r="C4670" s="1"/>
      <c r="E4670" s="1"/>
      <c r="J4670" s="3"/>
      <c r="L4670" s="1"/>
    </row>
    <row r="4671" spans="1:12" x14ac:dyDescent="0.3">
      <c r="A4671" s="3"/>
      <c r="C4671" s="1"/>
      <c r="E4671" s="1"/>
      <c r="J4671" s="3"/>
      <c r="L4671" s="1"/>
    </row>
    <row r="4672" spans="1:12" x14ac:dyDescent="0.3">
      <c r="A4672" s="3"/>
      <c r="C4672" s="1"/>
      <c r="E4672" s="1"/>
      <c r="J4672" s="3"/>
      <c r="L4672" s="1"/>
    </row>
    <row r="4673" spans="1:12" x14ac:dyDescent="0.3">
      <c r="A4673" s="3"/>
      <c r="C4673" s="1"/>
      <c r="E4673" s="1"/>
      <c r="J4673" s="3"/>
      <c r="L4673" s="1"/>
    </row>
    <row r="4674" spans="1:12" x14ac:dyDescent="0.3">
      <c r="A4674" s="3"/>
      <c r="C4674" s="1"/>
      <c r="E4674" s="1"/>
      <c r="J4674" s="3"/>
      <c r="L4674" s="1"/>
    </row>
    <row r="4675" spans="1:12" x14ac:dyDescent="0.3">
      <c r="A4675" s="3"/>
      <c r="C4675" s="1"/>
      <c r="E4675" s="1"/>
      <c r="J4675" s="3"/>
      <c r="L4675" s="1"/>
    </row>
    <row r="4676" spans="1:12" x14ac:dyDescent="0.3">
      <c r="A4676" s="3"/>
      <c r="C4676" s="1"/>
      <c r="E4676" s="1"/>
      <c r="J4676" s="3"/>
      <c r="L4676" s="1"/>
    </row>
    <row r="4677" spans="1:12" x14ac:dyDescent="0.3">
      <c r="A4677" s="3"/>
      <c r="C4677" s="1"/>
      <c r="E4677" s="1"/>
      <c r="J4677" s="3"/>
      <c r="L4677" s="1"/>
    </row>
    <row r="4678" spans="1:12" x14ac:dyDescent="0.3">
      <c r="A4678" s="3"/>
      <c r="C4678" s="1"/>
      <c r="E4678" s="1"/>
      <c r="J4678" s="3"/>
      <c r="L4678" s="1"/>
    </row>
    <row r="4679" spans="1:12" x14ac:dyDescent="0.3">
      <c r="A4679" s="3"/>
      <c r="C4679" s="1"/>
      <c r="E4679" s="1"/>
      <c r="J4679" s="3"/>
      <c r="L4679" s="1"/>
    </row>
    <row r="4680" spans="1:12" x14ac:dyDescent="0.3">
      <c r="A4680" s="3"/>
      <c r="C4680" s="1"/>
      <c r="E4680" s="1"/>
      <c r="J4680" s="3"/>
      <c r="L4680" s="1"/>
    </row>
    <row r="4681" spans="1:12" x14ac:dyDescent="0.3">
      <c r="A4681" s="3"/>
      <c r="C4681" s="1"/>
      <c r="E4681" s="1"/>
      <c r="J4681" s="3"/>
      <c r="L4681" s="1"/>
    </row>
    <row r="4682" spans="1:12" x14ac:dyDescent="0.3">
      <c r="A4682" s="3"/>
      <c r="C4682" s="1"/>
      <c r="E4682" s="1"/>
      <c r="J4682" s="3"/>
      <c r="L4682" s="1"/>
    </row>
    <row r="4683" spans="1:12" x14ac:dyDescent="0.3">
      <c r="A4683" s="3"/>
      <c r="C4683" s="1"/>
      <c r="E4683" s="1"/>
      <c r="J4683" s="3"/>
      <c r="L4683" s="1"/>
    </row>
    <row r="4684" spans="1:12" x14ac:dyDescent="0.3">
      <c r="A4684" s="3"/>
      <c r="C4684" s="1"/>
      <c r="E4684" s="1"/>
      <c r="J4684" s="3"/>
      <c r="L4684" s="1"/>
    </row>
    <row r="4685" spans="1:12" x14ac:dyDescent="0.3">
      <c r="A4685" s="3"/>
      <c r="C4685" s="1"/>
      <c r="E4685" s="1"/>
      <c r="J4685" s="3"/>
      <c r="L4685" s="1"/>
    </row>
    <row r="4686" spans="1:12" x14ac:dyDescent="0.3">
      <c r="A4686" s="3"/>
      <c r="C4686" s="1"/>
      <c r="E4686" s="1"/>
      <c r="J4686" s="3"/>
      <c r="L4686" s="1"/>
    </row>
    <row r="4687" spans="1:12" x14ac:dyDescent="0.3">
      <c r="A4687" s="3"/>
      <c r="C4687" s="1"/>
      <c r="E4687" s="1"/>
      <c r="J4687" s="3"/>
      <c r="L4687" s="1"/>
    </row>
    <row r="4688" spans="1:12" x14ac:dyDescent="0.3">
      <c r="A4688" s="3"/>
      <c r="C4688" s="1"/>
      <c r="E4688" s="1"/>
      <c r="J4688" s="3"/>
      <c r="L4688" s="1"/>
    </row>
    <row r="4689" spans="1:12" x14ac:dyDescent="0.3">
      <c r="A4689" s="3"/>
      <c r="C4689" s="1"/>
      <c r="E4689" s="1"/>
      <c r="J4689" s="3"/>
      <c r="L4689" s="1"/>
    </row>
    <row r="4690" spans="1:12" x14ac:dyDescent="0.3">
      <c r="A4690" s="3"/>
      <c r="C4690" s="1"/>
      <c r="E4690" s="1"/>
      <c r="J4690" s="3"/>
      <c r="L4690" s="1"/>
    </row>
    <row r="4691" spans="1:12" x14ac:dyDescent="0.3">
      <c r="A4691" s="3"/>
      <c r="C4691" s="1"/>
      <c r="E4691" s="1"/>
      <c r="J4691" s="3"/>
      <c r="L4691" s="1"/>
    </row>
    <row r="4692" spans="1:12" x14ac:dyDescent="0.3">
      <c r="A4692" s="3"/>
      <c r="C4692" s="1"/>
      <c r="E4692" s="1"/>
      <c r="J4692" s="3"/>
      <c r="L4692" s="1"/>
    </row>
    <row r="4693" spans="1:12" x14ac:dyDescent="0.3">
      <c r="A4693" s="3"/>
      <c r="C4693" s="1"/>
      <c r="E4693" s="1"/>
      <c r="J4693" s="3"/>
      <c r="L4693" s="1"/>
    </row>
    <row r="4694" spans="1:12" x14ac:dyDescent="0.3">
      <c r="A4694" s="3"/>
      <c r="C4694" s="1"/>
      <c r="E4694" s="1"/>
      <c r="J4694" s="3"/>
      <c r="L4694" s="1"/>
    </row>
    <row r="4695" spans="1:12" x14ac:dyDescent="0.3">
      <c r="A4695" s="3"/>
      <c r="C4695" s="1"/>
      <c r="E4695" s="1"/>
      <c r="J4695" s="3"/>
      <c r="L4695" s="1"/>
    </row>
    <row r="4696" spans="1:12" x14ac:dyDescent="0.3">
      <c r="A4696" s="3"/>
      <c r="C4696" s="1"/>
      <c r="E4696" s="1"/>
      <c r="J4696" s="3"/>
      <c r="L4696" s="1"/>
    </row>
    <row r="4697" spans="1:12" x14ac:dyDescent="0.3">
      <c r="A4697" s="3"/>
      <c r="C4697" s="1"/>
      <c r="E4697" s="1"/>
      <c r="J4697" s="3"/>
      <c r="L4697" s="1"/>
    </row>
    <row r="4698" spans="1:12" x14ac:dyDescent="0.3">
      <c r="A4698" s="3"/>
      <c r="C4698" s="1"/>
      <c r="E4698" s="1"/>
      <c r="J4698" s="3"/>
      <c r="L4698" s="1"/>
    </row>
    <row r="4699" spans="1:12" x14ac:dyDescent="0.3">
      <c r="A4699" s="3"/>
      <c r="C4699" s="1"/>
      <c r="E4699" s="1"/>
      <c r="J4699" s="3"/>
      <c r="L4699" s="1"/>
    </row>
    <row r="4700" spans="1:12" x14ac:dyDescent="0.3">
      <c r="A4700" s="3"/>
      <c r="C4700" s="1"/>
      <c r="E4700" s="1"/>
      <c r="J4700" s="3"/>
      <c r="L4700" s="1"/>
    </row>
    <row r="4701" spans="1:12" x14ac:dyDescent="0.3">
      <c r="A4701" s="3"/>
      <c r="C4701" s="1"/>
      <c r="E4701" s="1"/>
      <c r="J4701" s="3"/>
      <c r="L4701" s="1"/>
    </row>
    <row r="4702" spans="1:12" x14ac:dyDescent="0.3">
      <c r="A4702" s="3"/>
      <c r="C4702" s="1"/>
      <c r="E4702" s="1"/>
      <c r="J4702" s="3"/>
      <c r="L4702" s="1"/>
    </row>
    <row r="4703" spans="1:12" x14ac:dyDescent="0.3">
      <c r="A4703" s="3"/>
      <c r="C4703" s="1"/>
      <c r="E4703" s="1"/>
      <c r="J4703" s="3"/>
      <c r="L4703" s="1"/>
    </row>
    <row r="4704" spans="1:12" x14ac:dyDescent="0.3">
      <c r="A4704" s="3"/>
      <c r="C4704" s="1"/>
      <c r="E4704" s="1"/>
      <c r="J4704" s="3"/>
      <c r="L4704" s="1"/>
    </row>
    <row r="4705" spans="1:12" x14ac:dyDescent="0.3">
      <c r="A4705" s="3"/>
      <c r="C4705" s="1"/>
      <c r="E4705" s="1"/>
      <c r="J4705" s="3"/>
      <c r="L4705" s="1"/>
    </row>
    <row r="4706" spans="1:12" x14ac:dyDescent="0.3">
      <c r="A4706" s="3"/>
      <c r="C4706" s="1"/>
      <c r="E4706" s="1"/>
      <c r="J4706" s="3"/>
      <c r="L4706" s="1"/>
    </row>
    <row r="4707" spans="1:12" x14ac:dyDescent="0.3">
      <c r="A4707" s="3"/>
      <c r="C4707" s="1"/>
      <c r="E4707" s="1"/>
      <c r="J4707" s="3"/>
      <c r="L4707" s="1"/>
    </row>
    <row r="4708" spans="1:12" x14ac:dyDescent="0.3">
      <c r="A4708" s="3"/>
      <c r="C4708" s="1"/>
      <c r="E4708" s="1"/>
      <c r="J4708" s="3"/>
      <c r="L4708" s="1"/>
    </row>
    <row r="4709" spans="1:12" x14ac:dyDescent="0.3">
      <c r="A4709" s="3"/>
      <c r="C4709" s="1"/>
      <c r="E4709" s="1"/>
      <c r="J4709" s="3"/>
      <c r="L4709" s="1"/>
    </row>
    <row r="4710" spans="1:12" x14ac:dyDescent="0.3">
      <c r="A4710" s="3"/>
      <c r="C4710" s="1"/>
      <c r="E4710" s="1"/>
      <c r="J4710" s="3"/>
      <c r="L4710" s="1"/>
    </row>
    <row r="4711" spans="1:12" x14ac:dyDescent="0.3">
      <c r="A4711" s="3"/>
      <c r="C4711" s="1"/>
      <c r="E4711" s="1"/>
      <c r="J4711" s="3"/>
      <c r="L4711" s="1"/>
    </row>
    <row r="4712" spans="1:12" x14ac:dyDescent="0.3">
      <c r="A4712" s="3"/>
      <c r="C4712" s="1"/>
      <c r="E4712" s="1"/>
      <c r="J4712" s="3"/>
      <c r="L4712" s="1"/>
    </row>
    <row r="4713" spans="1:12" x14ac:dyDescent="0.3">
      <c r="A4713" s="3"/>
      <c r="C4713" s="1"/>
      <c r="E4713" s="1"/>
      <c r="J4713" s="3"/>
      <c r="L4713" s="1"/>
    </row>
    <row r="4714" spans="1:12" x14ac:dyDescent="0.3">
      <c r="A4714" s="3"/>
      <c r="C4714" s="1"/>
      <c r="E4714" s="1"/>
      <c r="J4714" s="3"/>
      <c r="L4714" s="1"/>
    </row>
    <row r="4715" spans="1:12" x14ac:dyDescent="0.3">
      <c r="A4715" s="3"/>
      <c r="C4715" s="1"/>
      <c r="E4715" s="1"/>
      <c r="J4715" s="3"/>
      <c r="L4715" s="1"/>
    </row>
    <row r="4716" spans="1:12" x14ac:dyDescent="0.3">
      <c r="A4716" s="3"/>
      <c r="C4716" s="1"/>
      <c r="E4716" s="1"/>
      <c r="J4716" s="3"/>
      <c r="L4716" s="1"/>
    </row>
    <row r="4717" spans="1:12" x14ac:dyDescent="0.3">
      <c r="A4717" s="3"/>
      <c r="C4717" s="1"/>
      <c r="E4717" s="1"/>
      <c r="J4717" s="3"/>
      <c r="L4717" s="1"/>
    </row>
    <row r="4718" spans="1:12" x14ac:dyDescent="0.3">
      <c r="A4718" s="3"/>
      <c r="C4718" s="1"/>
      <c r="E4718" s="1"/>
      <c r="J4718" s="3"/>
      <c r="L4718" s="1"/>
    </row>
    <row r="4719" spans="1:12" x14ac:dyDescent="0.3">
      <c r="A4719" s="3"/>
      <c r="C4719" s="1"/>
      <c r="E4719" s="1"/>
      <c r="J4719" s="3"/>
      <c r="L4719" s="1"/>
    </row>
    <row r="4720" spans="1:12" x14ac:dyDescent="0.3">
      <c r="A4720" s="3"/>
      <c r="C4720" s="1"/>
      <c r="E4720" s="1"/>
      <c r="J4720" s="3"/>
      <c r="L4720" s="1"/>
    </row>
    <row r="4721" spans="1:12" x14ac:dyDescent="0.3">
      <c r="A4721" s="3"/>
      <c r="C4721" s="1"/>
      <c r="E4721" s="1"/>
      <c r="J4721" s="3"/>
      <c r="L4721" s="1"/>
    </row>
    <row r="4722" spans="1:12" x14ac:dyDescent="0.3">
      <c r="A4722" s="3"/>
      <c r="C4722" s="1"/>
      <c r="E4722" s="1"/>
      <c r="J4722" s="3"/>
      <c r="L4722" s="1"/>
    </row>
    <row r="4723" spans="1:12" x14ac:dyDescent="0.3">
      <c r="A4723" s="3"/>
      <c r="C4723" s="1"/>
      <c r="E4723" s="1"/>
      <c r="J4723" s="3"/>
      <c r="L4723" s="1"/>
    </row>
    <row r="4724" spans="1:12" x14ac:dyDescent="0.3">
      <c r="A4724" s="3"/>
      <c r="C4724" s="1"/>
      <c r="E4724" s="1"/>
      <c r="J4724" s="3"/>
      <c r="L4724" s="1"/>
    </row>
    <row r="4725" spans="1:12" x14ac:dyDescent="0.3">
      <c r="A4725" s="3"/>
      <c r="C4725" s="1"/>
      <c r="E4725" s="1"/>
      <c r="J4725" s="3"/>
      <c r="L4725" s="1"/>
    </row>
    <row r="4726" spans="1:12" x14ac:dyDescent="0.3">
      <c r="A4726" s="3"/>
      <c r="C4726" s="1"/>
      <c r="E4726" s="1"/>
      <c r="J4726" s="3"/>
      <c r="L4726" s="1"/>
    </row>
    <row r="4727" spans="1:12" x14ac:dyDescent="0.3">
      <c r="A4727" s="3"/>
      <c r="C4727" s="1"/>
      <c r="E4727" s="1"/>
      <c r="J4727" s="3"/>
      <c r="L4727" s="1"/>
    </row>
    <row r="4728" spans="1:12" x14ac:dyDescent="0.3">
      <c r="A4728" s="3"/>
      <c r="C4728" s="1"/>
      <c r="E4728" s="1"/>
      <c r="J4728" s="3"/>
      <c r="L4728" s="1"/>
    </row>
    <row r="4729" spans="1:12" x14ac:dyDescent="0.3">
      <c r="A4729" s="3"/>
      <c r="C4729" s="1"/>
      <c r="E4729" s="1"/>
      <c r="J4729" s="3"/>
      <c r="L4729" s="1"/>
    </row>
    <row r="4730" spans="1:12" x14ac:dyDescent="0.3">
      <c r="A4730" s="3"/>
      <c r="C4730" s="1"/>
      <c r="E4730" s="1"/>
      <c r="J4730" s="3"/>
      <c r="L4730" s="1"/>
    </row>
    <row r="4731" spans="1:12" x14ac:dyDescent="0.3">
      <c r="A4731" s="3"/>
      <c r="C4731" s="1"/>
      <c r="E4731" s="1"/>
      <c r="J4731" s="3"/>
      <c r="L4731" s="1"/>
    </row>
    <row r="4732" spans="1:12" x14ac:dyDescent="0.3">
      <c r="A4732" s="3"/>
      <c r="C4732" s="1"/>
      <c r="E4732" s="1"/>
      <c r="J4732" s="3"/>
      <c r="L4732" s="1"/>
    </row>
    <row r="4733" spans="1:12" x14ac:dyDescent="0.3">
      <c r="A4733" s="3"/>
      <c r="C4733" s="1"/>
      <c r="E4733" s="1"/>
      <c r="J4733" s="3"/>
      <c r="L4733" s="1"/>
    </row>
    <row r="4734" spans="1:12" x14ac:dyDescent="0.3">
      <c r="A4734" s="3"/>
      <c r="C4734" s="1"/>
      <c r="E4734" s="1"/>
      <c r="J4734" s="3"/>
      <c r="L4734" s="1"/>
    </row>
    <row r="4735" spans="1:12" x14ac:dyDescent="0.3">
      <c r="A4735" s="3"/>
      <c r="C4735" s="1"/>
      <c r="E4735" s="1"/>
      <c r="J4735" s="3"/>
      <c r="L4735" s="1"/>
    </row>
    <row r="4736" spans="1:12" x14ac:dyDescent="0.3">
      <c r="A4736" s="3"/>
      <c r="C4736" s="1"/>
      <c r="E4736" s="1"/>
      <c r="J4736" s="3"/>
      <c r="L4736" s="1"/>
    </row>
    <row r="4737" spans="1:12" x14ac:dyDescent="0.3">
      <c r="A4737" s="3"/>
      <c r="C4737" s="1"/>
      <c r="E4737" s="1"/>
      <c r="J4737" s="3"/>
      <c r="L4737" s="1"/>
    </row>
    <row r="4738" spans="1:12" x14ac:dyDescent="0.3">
      <c r="A4738" s="3"/>
      <c r="C4738" s="1"/>
      <c r="E4738" s="1"/>
      <c r="J4738" s="3"/>
      <c r="L4738" s="1"/>
    </row>
    <row r="4739" spans="1:12" x14ac:dyDescent="0.3">
      <c r="A4739" s="3"/>
      <c r="C4739" s="1"/>
      <c r="E4739" s="1"/>
      <c r="J4739" s="3"/>
      <c r="L4739" s="1"/>
    </row>
    <row r="4740" spans="1:12" x14ac:dyDescent="0.3">
      <c r="A4740" s="3"/>
      <c r="C4740" s="1"/>
      <c r="E4740" s="1"/>
      <c r="J4740" s="3"/>
      <c r="L4740" s="1"/>
    </row>
    <row r="4741" spans="1:12" x14ac:dyDescent="0.3">
      <c r="A4741" s="3"/>
      <c r="C4741" s="1"/>
      <c r="E4741" s="1"/>
      <c r="J4741" s="3"/>
      <c r="L4741" s="1"/>
    </row>
    <row r="4742" spans="1:12" x14ac:dyDescent="0.3">
      <c r="A4742" s="3"/>
      <c r="C4742" s="1"/>
      <c r="E4742" s="1"/>
      <c r="J4742" s="3"/>
      <c r="L4742" s="1"/>
    </row>
    <row r="4743" spans="1:12" x14ac:dyDescent="0.3">
      <c r="A4743" s="3"/>
      <c r="C4743" s="1"/>
      <c r="E4743" s="1"/>
      <c r="J4743" s="3"/>
      <c r="L4743" s="1"/>
    </row>
    <row r="4744" spans="1:12" x14ac:dyDescent="0.3">
      <c r="A4744" s="3"/>
      <c r="C4744" s="1"/>
      <c r="E4744" s="1"/>
      <c r="J4744" s="3"/>
      <c r="L4744" s="1"/>
    </row>
    <row r="4745" spans="1:12" x14ac:dyDescent="0.3">
      <c r="A4745" s="3"/>
      <c r="C4745" s="1"/>
      <c r="E4745" s="1"/>
      <c r="J4745" s="3"/>
      <c r="L4745" s="1"/>
    </row>
    <row r="4746" spans="1:12" x14ac:dyDescent="0.3">
      <c r="A4746" s="3"/>
      <c r="C4746" s="1"/>
      <c r="E4746" s="1"/>
      <c r="J4746" s="3"/>
      <c r="L4746" s="1"/>
    </row>
    <row r="4747" spans="1:12" x14ac:dyDescent="0.3">
      <c r="A4747" s="3"/>
      <c r="C4747" s="1"/>
      <c r="E4747" s="1"/>
      <c r="J4747" s="3"/>
      <c r="L4747" s="1"/>
    </row>
    <row r="4748" spans="1:12" x14ac:dyDescent="0.3">
      <c r="A4748" s="3"/>
      <c r="C4748" s="1"/>
      <c r="E4748" s="1"/>
      <c r="J4748" s="3"/>
      <c r="L4748" s="1"/>
    </row>
    <row r="4749" spans="1:12" x14ac:dyDescent="0.3">
      <c r="A4749" s="3"/>
      <c r="C4749" s="1"/>
      <c r="E4749" s="1"/>
      <c r="J4749" s="3"/>
      <c r="L4749" s="1"/>
    </row>
    <row r="4750" spans="1:12" x14ac:dyDescent="0.3">
      <c r="A4750" s="3"/>
      <c r="C4750" s="1"/>
      <c r="E4750" s="1"/>
      <c r="J4750" s="3"/>
      <c r="L4750" s="1"/>
    </row>
    <row r="4751" spans="1:12" x14ac:dyDescent="0.3">
      <c r="A4751" s="3"/>
      <c r="C4751" s="1"/>
      <c r="E4751" s="1"/>
      <c r="J4751" s="3"/>
      <c r="L4751" s="1"/>
    </row>
    <row r="4752" spans="1:12" x14ac:dyDescent="0.3">
      <c r="A4752" s="3"/>
      <c r="C4752" s="1"/>
      <c r="E4752" s="1"/>
      <c r="J4752" s="3"/>
      <c r="L4752" s="1"/>
    </row>
    <row r="4753" spans="1:12" x14ac:dyDescent="0.3">
      <c r="A4753" s="3"/>
      <c r="C4753" s="1"/>
      <c r="E4753" s="1"/>
      <c r="J4753" s="3"/>
      <c r="L4753" s="1"/>
    </row>
    <row r="4754" spans="1:12" x14ac:dyDescent="0.3">
      <c r="A4754" s="3"/>
      <c r="C4754" s="1"/>
      <c r="E4754" s="1"/>
      <c r="J4754" s="3"/>
      <c r="L4754" s="1"/>
    </row>
    <row r="4755" spans="1:12" x14ac:dyDescent="0.3">
      <c r="A4755" s="3"/>
      <c r="C4755" s="1"/>
      <c r="E4755" s="1"/>
      <c r="J4755" s="3"/>
      <c r="L4755" s="1"/>
    </row>
    <row r="4756" spans="1:12" x14ac:dyDescent="0.3">
      <c r="A4756" s="3"/>
      <c r="C4756" s="1"/>
      <c r="E4756" s="1"/>
      <c r="J4756" s="3"/>
      <c r="L4756" s="1"/>
    </row>
    <row r="4757" spans="1:12" x14ac:dyDescent="0.3">
      <c r="A4757" s="3"/>
      <c r="C4757" s="1"/>
      <c r="E4757" s="1"/>
      <c r="J4757" s="3"/>
      <c r="L4757" s="1"/>
    </row>
    <row r="4758" spans="1:12" x14ac:dyDescent="0.3">
      <c r="A4758" s="3"/>
      <c r="C4758" s="1"/>
      <c r="E4758" s="1"/>
      <c r="J4758" s="3"/>
      <c r="L4758" s="1"/>
    </row>
    <row r="4759" spans="1:12" x14ac:dyDescent="0.3">
      <c r="A4759" s="3"/>
      <c r="C4759" s="1"/>
      <c r="E4759" s="1"/>
      <c r="J4759" s="3"/>
      <c r="L4759" s="1"/>
    </row>
    <row r="4760" spans="1:12" x14ac:dyDescent="0.3">
      <c r="A4760" s="3"/>
      <c r="C4760" s="1"/>
      <c r="E4760" s="1"/>
      <c r="J4760" s="3"/>
      <c r="L4760" s="1"/>
    </row>
    <row r="4761" spans="1:12" x14ac:dyDescent="0.3">
      <c r="A4761" s="3"/>
      <c r="C4761" s="1"/>
      <c r="E4761" s="1"/>
      <c r="J4761" s="3"/>
      <c r="L4761" s="1"/>
    </row>
    <row r="4762" spans="1:12" x14ac:dyDescent="0.3">
      <c r="A4762" s="3"/>
      <c r="C4762" s="1"/>
      <c r="E4762" s="1"/>
      <c r="J4762" s="3"/>
      <c r="L4762" s="1"/>
    </row>
    <row r="4763" spans="1:12" x14ac:dyDescent="0.3">
      <c r="A4763" s="3"/>
      <c r="C4763" s="1"/>
      <c r="E4763" s="1"/>
      <c r="J4763" s="3"/>
      <c r="L4763" s="1"/>
    </row>
    <row r="4764" spans="1:12" x14ac:dyDescent="0.3">
      <c r="A4764" s="3"/>
      <c r="C4764" s="1"/>
      <c r="E4764" s="1"/>
      <c r="J4764" s="3"/>
      <c r="L4764" s="1"/>
    </row>
    <row r="4765" spans="1:12" x14ac:dyDescent="0.3">
      <c r="A4765" s="3"/>
      <c r="C4765" s="1"/>
      <c r="E4765" s="1"/>
      <c r="J4765" s="3"/>
      <c r="L4765" s="1"/>
    </row>
    <row r="4766" spans="1:12" x14ac:dyDescent="0.3">
      <c r="A4766" s="3"/>
      <c r="C4766" s="1"/>
      <c r="E4766" s="1"/>
      <c r="J4766" s="3"/>
      <c r="L4766" s="1"/>
    </row>
    <row r="4767" spans="1:12" x14ac:dyDescent="0.3">
      <c r="A4767" s="3"/>
      <c r="C4767" s="1"/>
      <c r="E4767" s="1"/>
      <c r="J4767" s="3"/>
      <c r="L4767" s="1"/>
    </row>
    <row r="4768" spans="1:12" x14ac:dyDescent="0.3">
      <c r="A4768" s="3"/>
      <c r="C4768" s="1"/>
      <c r="E4768" s="1"/>
      <c r="J4768" s="3"/>
      <c r="L4768" s="1"/>
    </row>
    <row r="4769" spans="1:12" x14ac:dyDescent="0.3">
      <c r="A4769" s="3"/>
      <c r="C4769" s="1"/>
      <c r="E4769" s="1"/>
      <c r="J4769" s="3"/>
      <c r="L4769" s="1"/>
    </row>
    <row r="4770" spans="1:12" x14ac:dyDescent="0.3">
      <c r="A4770" s="3"/>
      <c r="C4770" s="1"/>
      <c r="E4770" s="1"/>
      <c r="J4770" s="3"/>
      <c r="L4770" s="1"/>
    </row>
    <row r="4771" spans="1:12" x14ac:dyDescent="0.3">
      <c r="A4771" s="3"/>
      <c r="C4771" s="1"/>
      <c r="E4771" s="1"/>
      <c r="J4771" s="3"/>
      <c r="L4771" s="1"/>
    </row>
    <row r="4772" spans="1:12" x14ac:dyDescent="0.3">
      <c r="A4772" s="3"/>
      <c r="C4772" s="1"/>
      <c r="E4772" s="1"/>
      <c r="J4772" s="3"/>
      <c r="L4772" s="1"/>
    </row>
    <row r="4773" spans="1:12" x14ac:dyDescent="0.3">
      <c r="A4773" s="3"/>
      <c r="C4773" s="1"/>
      <c r="E4773" s="1"/>
      <c r="J4773" s="3"/>
      <c r="L4773" s="1"/>
    </row>
    <row r="4774" spans="1:12" x14ac:dyDescent="0.3">
      <c r="A4774" s="3"/>
      <c r="C4774" s="1"/>
      <c r="E4774" s="1"/>
      <c r="J4774" s="3"/>
      <c r="L4774" s="1"/>
    </row>
    <row r="4775" spans="1:12" x14ac:dyDescent="0.3">
      <c r="A4775" s="3"/>
      <c r="C4775" s="1"/>
      <c r="E4775" s="1"/>
      <c r="J4775" s="3"/>
      <c r="L4775" s="1"/>
    </row>
    <row r="4776" spans="1:12" x14ac:dyDescent="0.3">
      <c r="A4776" s="3"/>
      <c r="C4776" s="1"/>
      <c r="E4776" s="1"/>
      <c r="J4776" s="3"/>
      <c r="L4776" s="1"/>
    </row>
    <row r="4777" spans="1:12" x14ac:dyDescent="0.3">
      <c r="A4777" s="3"/>
      <c r="C4777" s="1"/>
      <c r="E4777" s="1"/>
      <c r="J4777" s="3"/>
      <c r="L4777" s="1"/>
    </row>
    <row r="4778" spans="1:12" x14ac:dyDescent="0.3">
      <c r="A4778" s="3"/>
      <c r="C4778" s="1"/>
      <c r="E4778" s="1"/>
      <c r="J4778" s="3"/>
      <c r="L4778" s="1"/>
    </row>
    <row r="4779" spans="1:12" x14ac:dyDescent="0.3">
      <c r="A4779" s="3"/>
      <c r="C4779" s="1"/>
      <c r="E4779" s="1"/>
      <c r="J4779" s="3"/>
      <c r="L4779" s="1"/>
    </row>
    <row r="4780" spans="1:12" x14ac:dyDescent="0.3">
      <c r="A4780" s="3"/>
      <c r="C4780" s="1"/>
      <c r="E4780" s="1"/>
      <c r="J4780" s="3"/>
      <c r="L4780" s="1"/>
    </row>
    <row r="4781" spans="1:12" x14ac:dyDescent="0.3">
      <c r="A4781" s="3"/>
      <c r="C4781" s="1"/>
      <c r="E4781" s="1"/>
      <c r="J4781" s="3"/>
      <c r="L4781" s="1"/>
    </row>
    <row r="4782" spans="1:12" x14ac:dyDescent="0.3">
      <c r="A4782" s="3"/>
      <c r="C4782" s="1"/>
      <c r="E4782" s="1"/>
      <c r="J4782" s="3"/>
      <c r="L4782" s="1"/>
    </row>
    <row r="4783" spans="1:12" x14ac:dyDescent="0.3">
      <c r="A4783" s="3"/>
      <c r="C4783" s="1"/>
      <c r="E4783" s="1"/>
      <c r="J4783" s="3"/>
      <c r="L4783" s="1"/>
    </row>
    <row r="4784" spans="1:12" x14ac:dyDescent="0.3">
      <c r="A4784" s="3"/>
      <c r="C4784" s="1"/>
      <c r="E4784" s="1"/>
      <c r="J4784" s="3"/>
      <c r="L4784" s="1"/>
    </row>
    <row r="4785" spans="1:12" x14ac:dyDescent="0.3">
      <c r="A4785" s="3"/>
      <c r="C4785" s="1"/>
      <c r="E4785" s="1"/>
      <c r="J4785" s="3"/>
      <c r="L4785" s="1"/>
    </row>
    <row r="4786" spans="1:12" x14ac:dyDescent="0.3">
      <c r="A4786" s="3"/>
      <c r="C4786" s="1"/>
      <c r="E4786" s="1"/>
      <c r="J4786" s="3"/>
      <c r="L4786" s="1"/>
    </row>
    <row r="4787" spans="1:12" x14ac:dyDescent="0.3">
      <c r="A4787" s="3"/>
      <c r="C4787" s="1"/>
      <c r="E4787" s="1"/>
      <c r="J4787" s="3"/>
      <c r="L4787" s="1"/>
    </row>
    <row r="4788" spans="1:12" x14ac:dyDescent="0.3">
      <c r="A4788" s="3"/>
      <c r="C4788" s="1"/>
      <c r="E4788" s="1"/>
      <c r="J4788" s="3"/>
      <c r="L4788" s="1"/>
    </row>
    <row r="4789" spans="1:12" x14ac:dyDescent="0.3">
      <c r="A4789" s="3"/>
      <c r="C4789" s="1"/>
      <c r="E4789" s="1"/>
      <c r="J4789" s="3"/>
      <c r="L4789" s="1"/>
    </row>
    <row r="4790" spans="1:12" x14ac:dyDescent="0.3">
      <c r="A4790" s="3"/>
      <c r="C4790" s="1"/>
      <c r="E4790" s="1"/>
      <c r="J4790" s="3"/>
      <c r="L4790" s="1"/>
    </row>
    <row r="4791" spans="1:12" x14ac:dyDescent="0.3">
      <c r="A4791" s="3"/>
      <c r="C4791" s="1"/>
      <c r="E4791" s="1"/>
      <c r="J4791" s="3"/>
      <c r="L4791" s="1"/>
    </row>
    <row r="4792" spans="1:12" x14ac:dyDescent="0.3">
      <c r="A4792" s="3"/>
      <c r="C4792" s="1"/>
      <c r="E4792" s="1"/>
      <c r="J4792" s="3"/>
      <c r="L4792" s="1"/>
    </row>
    <row r="4793" spans="1:12" x14ac:dyDescent="0.3">
      <c r="A4793" s="3"/>
      <c r="C4793" s="1"/>
      <c r="E4793" s="1"/>
      <c r="J4793" s="3"/>
      <c r="L4793" s="1"/>
    </row>
    <row r="4794" spans="1:12" x14ac:dyDescent="0.3">
      <c r="A4794" s="3"/>
      <c r="C4794" s="1"/>
      <c r="E4794" s="1"/>
      <c r="J4794" s="3"/>
      <c r="L4794" s="1"/>
    </row>
    <row r="4795" spans="1:12" x14ac:dyDescent="0.3">
      <c r="A4795" s="3"/>
      <c r="C4795" s="1"/>
      <c r="E4795" s="1"/>
      <c r="J4795" s="3"/>
      <c r="L4795" s="1"/>
    </row>
    <row r="4796" spans="1:12" x14ac:dyDescent="0.3">
      <c r="A4796" s="3"/>
      <c r="C4796" s="1"/>
      <c r="E4796" s="1"/>
      <c r="J4796" s="3"/>
      <c r="L4796" s="1"/>
    </row>
    <row r="4797" spans="1:12" x14ac:dyDescent="0.3">
      <c r="A4797" s="3"/>
      <c r="C4797" s="1"/>
      <c r="E4797" s="1"/>
      <c r="J4797" s="3"/>
      <c r="L4797" s="1"/>
    </row>
    <row r="4798" spans="1:12" x14ac:dyDescent="0.3">
      <c r="A4798" s="3"/>
      <c r="C4798" s="1"/>
      <c r="E4798" s="1"/>
      <c r="J4798" s="3"/>
      <c r="L4798" s="1"/>
    </row>
    <row r="4799" spans="1:12" x14ac:dyDescent="0.3">
      <c r="A4799" s="3"/>
      <c r="C4799" s="1"/>
      <c r="E4799" s="1"/>
      <c r="J4799" s="3"/>
      <c r="L4799" s="1"/>
    </row>
    <row r="4800" spans="1:12" x14ac:dyDescent="0.3">
      <c r="A4800" s="3"/>
      <c r="C4800" s="1"/>
      <c r="E4800" s="1"/>
      <c r="J4800" s="3"/>
      <c r="L4800" s="1"/>
    </row>
    <row r="4801" spans="1:12" x14ac:dyDescent="0.3">
      <c r="A4801" s="3"/>
      <c r="C4801" s="1"/>
      <c r="E4801" s="1"/>
      <c r="J4801" s="3"/>
      <c r="L4801" s="1"/>
    </row>
    <row r="4802" spans="1:12" x14ac:dyDescent="0.3">
      <c r="A4802" s="3"/>
      <c r="C4802" s="1"/>
      <c r="E4802" s="1"/>
      <c r="J4802" s="3"/>
      <c r="L4802" s="1"/>
    </row>
    <row r="4803" spans="1:12" x14ac:dyDescent="0.3">
      <c r="A4803" s="3"/>
      <c r="C4803" s="1"/>
      <c r="E4803" s="1"/>
      <c r="J4803" s="3"/>
      <c r="L4803" s="1"/>
    </row>
    <row r="4804" spans="1:12" x14ac:dyDescent="0.3">
      <c r="A4804" s="3"/>
      <c r="C4804" s="1"/>
      <c r="E4804" s="1"/>
      <c r="J4804" s="3"/>
      <c r="L4804" s="1"/>
    </row>
    <row r="4805" spans="1:12" x14ac:dyDescent="0.3">
      <c r="A4805" s="3"/>
      <c r="C4805" s="1"/>
      <c r="E4805" s="1"/>
      <c r="J4805" s="3"/>
      <c r="L4805" s="1"/>
    </row>
    <row r="4806" spans="1:12" x14ac:dyDescent="0.3">
      <c r="A4806" s="3"/>
      <c r="C4806" s="1"/>
      <c r="E4806" s="1"/>
      <c r="J4806" s="3"/>
      <c r="L4806" s="1"/>
    </row>
    <row r="4807" spans="1:12" x14ac:dyDescent="0.3">
      <c r="A4807" s="3"/>
      <c r="C4807" s="1"/>
      <c r="E4807" s="1"/>
      <c r="J4807" s="3"/>
      <c r="L4807" s="1"/>
    </row>
    <row r="4808" spans="1:12" x14ac:dyDescent="0.3">
      <c r="A4808" s="3"/>
      <c r="C4808" s="1"/>
      <c r="E4808" s="1"/>
      <c r="J4808" s="3"/>
      <c r="L4808" s="1"/>
    </row>
    <row r="4809" spans="1:12" x14ac:dyDescent="0.3">
      <c r="A4809" s="3"/>
      <c r="C4809" s="1"/>
      <c r="E4809" s="1"/>
      <c r="J4809" s="3"/>
      <c r="L4809" s="1"/>
    </row>
    <row r="4810" spans="1:12" x14ac:dyDescent="0.3">
      <c r="A4810" s="3"/>
      <c r="C4810" s="1"/>
      <c r="E4810" s="1"/>
      <c r="J4810" s="3"/>
      <c r="L4810" s="1"/>
    </row>
    <row r="4811" spans="1:12" x14ac:dyDescent="0.3">
      <c r="A4811" s="3"/>
      <c r="C4811" s="1"/>
      <c r="E4811" s="1"/>
      <c r="J4811" s="3"/>
      <c r="L4811" s="1"/>
    </row>
    <row r="4812" spans="1:12" x14ac:dyDescent="0.3">
      <c r="A4812" s="3"/>
      <c r="C4812" s="1"/>
      <c r="E4812" s="1"/>
      <c r="J4812" s="3"/>
      <c r="L4812" s="1"/>
    </row>
    <row r="4813" spans="1:12" x14ac:dyDescent="0.3">
      <c r="A4813" s="3"/>
      <c r="C4813" s="1"/>
      <c r="E4813" s="1"/>
      <c r="J4813" s="3"/>
      <c r="L4813" s="1"/>
    </row>
    <row r="4814" spans="1:12" x14ac:dyDescent="0.3">
      <c r="A4814" s="3"/>
      <c r="C4814" s="1"/>
      <c r="E4814" s="1"/>
      <c r="J4814" s="3"/>
      <c r="L4814" s="1"/>
    </row>
    <row r="4815" spans="1:12" x14ac:dyDescent="0.3">
      <c r="A4815" s="3"/>
      <c r="C4815" s="1"/>
      <c r="E4815" s="1"/>
      <c r="J4815" s="3"/>
      <c r="L4815" s="1"/>
    </row>
    <row r="4816" spans="1:12" x14ac:dyDescent="0.3">
      <c r="A4816" s="3"/>
      <c r="C4816" s="1"/>
      <c r="E4816" s="1"/>
      <c r="J4816" s="3"/>
      <c r="L4816" s="1"/>
    </row>
    <row r="4817" spans="1:12" x14ac:dyDescent="0.3">
      <c r="A4817" s="3"/>
      <c r="C4817" s="1"/>
      <c r="E4817" s="1"/>
      <c r="J4817" s="3"/>
      <c r="L4817" s="1"/>
    </row>
    <row r="4818" spans="1:12" x14ac:dyDescent="0.3">
      <c r="A4818" s="3"/>
      <c r="C4818" s="1"/>
      <c r="E4818" s="1"/>
      <c r="J4818" s="3"/>
      <c r="L4818" s="1"/>
    </row>
    <row r="4819" spans="1:12" x14ac:dyDescent="0.3">
      <c r="A4819" s="3"/>
      <c r="C4819" s="1"/>
      <c r="E4819" s="1"/>
      <c r="J4819" s="3"/>
      <c r="L4819" s="1"/>
    </row>
    <row r="4820" spans="1:12" x14ac:dyDescent="0.3">
      <c r="A4820" s="3"/>
      <c r="C4820" s="1"/>
      <c r="E4820" s="1"/>
      <c r="J4820" s="3"/>
      <c r="L4820" s="1"/>
    </row>
    <row r="4821" spans="1:12" x14ac:dyDescent="0.3">
      <c r="A4821" s="3"/>
      <c r="C4821" s="1"/>
      <c r="E4821" s="1"/>
      <c r="J4821" s="3"/>
      <c r="L4821" s="1"/>
    </row>
    <row r="4822" spans="1:12" x14ac:dyDescent="0.3">
      <c r="A4822" s="3"/>
      <c r="C4822" s="1"/>
      <c r="E4822" s="1"/>
      <c r="J4822" s="3"/>
      <c r="L4822" s="1"/>
    </row>
    <row r="4823" spans="1:12" x14ac:dyDescent="0.3">
      <c r="A4823" s="3"/>
      <c r="C4823" s="1"/>
      <c r="E4823" s="1"/>
      <c r="J4823" s="3"/>
      <c r="L4823" s="1"/>
    </row>
    <row r="4824" spans="1:12" x14ac:dyDescent="0.3">
      <c r="A4824" s="3"/>
      <c r="C4824" s="1"/>
      <c r="E4824" s="1"/>
      <c r="J4824" s="3"/>
      <c r="L4824" s="1"/>
    </row>
    <row r="4825" spans="1:12" x14ac:dyDescent="0.3">
      <c r="A4825" s="3"/>
      <c r="C4825" s="1"/>
      <c r="E4825" s="1"/>
      <c r="J4825" s="3"/>
      <c r="L4825" s="1"/>
    </row>
    <row r="4826" spans="1:12" x14ac:dyDescent="0.3">
      <c r="A4826" s="3"/>
      <c r="C4826" s="1"/>
      <c r="E4826" s="1"/>
      <c r="J4826" s="3"/>
      <c r="L4826" s="1"/>
    </row>
    <row r="4827" spans="1:12" x14ac:dyDescent="0.3">
      <c r="A4827" s="3"/>
      <c r="C4827" s="1"/>
      <c r="E4827" s="1"/>
      <c r="J4827" s="3"/>
      <c r="L4827" s="1"/>
    </row>
    <row r="4828" spans="1:12" x14ac:dyDescent="0.3">
      <c r="A4828" s="3"/>
      <c r="C4828" s="1"/>
      <c r="E4828" s="1"/>
      <c r="J4828" s="3"/>
      <c r="L4828" s="1"/>
    </row>
    <row r="4829" spans="1:12" x14ac:dyDescent="0.3">
      <c r="A4829" s="3"/>
      <c r="C4829" s="1"/>
      <c r="E4829" s="1"/>
      <c r="J4829" s="3"/>
      <c r="L4829" s="1"/>
    </row>
    <row r="4830" spans="1:12" x14ac:dyDescent="0.3">
      <c r="A4830" s="3"/>
      <c r="C4830" s="1"/>
      <c r="E4830" s="1"/>
      <c r="J4830" s="3"/>
      <c r="L4830" s="1"/>
    </row>
    <row r="4831" spans="1:12" x14ac:dyDescent="0.3">
      <c r="A4831" s="3"/>
      <c r="C4831" s="1"/>
      <c r="E4831" s="1"/>
      <c r="J4831" s="3"/>
      <c r="L4831" s="1"/>
    </row>
    <row r="4832" spans="1:12" x14ac:dyDescent="0.3">
      <c r="A4832" s="3"/>
      <c r="C4832" s="1"/>
      <c r="E4832" s="1"/>
      <c r="J4832" s="3"/>
      <c r="L4832" s="1"/>
    </row>
    <row r="4833" spans="1:12" x14ac:dyDescent="0.3">
      <c r="A4833" s="3"/>
      <c r="C4833" s="1"/>
      <c r="E4833" s="1"/>
      <c r="J4833" s="3"/>
      <c r="L4833" s="1"/>
    </row>
    <row r="4834" spans="1:12" x14ac:dyDescent="0.3">
      <c r="A4834" s="3"/>
      <c r="C4834" s="1"/>
      <c r="E4834" s="1"/>
      <c r="J4834" s="3"/>
      <c r="L4834" s="1"/>
    </row>
    <row r="4835" spans="1:12" x14ac:dyDescent="0.3">
      <c r="A4835" s="3"/>
      <c r="C4835" s="1"/>
      <c r="E4835" s="1"/>
      <c r="J4835" s="3"/>
      <c r="L4835" s="1"/>
    </row>
    <row r="4836" spans="1:12" x14ac:dyDescent="0.3">
      <c r="A4836" s="3"/>
      <c r="C4836" s="1"/>
      <c r="E4836" s="1"/>
      <c r="J4836" s="3"/>
      <c r="L4836" s="1"/>
    </row>
    <row r="4837" spans="1:12" x14ac:dyDescent="0.3">
      <c r="A4837" s="3"/>
      <c r="C4837" s="1"/>
      <c r="E4837" s="1"/>
      <c r="J4837" s="3"/>
      <c r="L4837" s="1"/>
    </row>
    <row r="4838" spans="1:12" x14ac:dyDescent="0.3">
      <c r="A4838" s="3"/>
      <c r="C4838" s="1"/>
      <c r="E4838" s="1"/>
      <c r="J4838" s="3"/>
      <c r="L4838" s="1"/>
    </row>
    <row r="4839" spans="1:12" x14ac:dyDescent="0.3">
      <c r="A4839" s="3"/>
      <c r="C4839" s="1"/>
      <c r="E4839" s="1"/>
      <c r="J4839" s="3"/>
      <c r="L4839" s="1"/>
    </row>
    <row r="4840" spans="1:12" x14ac:dyDescent="0.3">
      <c r="A4840" s="3"/>
      <c r="C4840" s="1"/>
      <c r="E4840" s="1"/>
      <c r="J4840" s="3"/>
      <c r="L4840" s="1"/>
    </row>
    <row r="4841" spans="1:12" x14ac:dyDescent="0.3">
      <c r="A4841" s="3"/>
      <c r="C4841" s="1"/>
      <c r="E4841" s="1"/>
      <c r="J4841" s="3"/>
      <c r="L4841" s="1"/>
    </row>
    <row r="4842" spans="1:12" x14ac:dyDescent="0.3">
      <c r="A4842" s="3"/>
      <c r="C4842" s="1"/>
      <c r="E4842" s="1"/>
      <c r="J4842" s="3"/>
      <c r="L4842" s="1"/>
    </row>
    <row r="4843" spans="1:12" x14ac:dyDescent="0.3">
      <c r="A4843" s="3"/>
      <c r="C4843" s="1"/>
      <c r="E4843" s="1"/>
      <c r="J4843" s="3"/>
      <c r="L4843" s="1"/>
    </row>
    <row r="4844" spans="1:12" x14ac:dyDescent="0.3">
      <c r="A4844" s="3"/>
      <c r="C4844" s="1"/>
      <c r="E4844" s="1"/>
      <c r="J4844" s="3"/>
      <c r="L4844" s="1"/>
    </row>
    <row r="4845" spans="1:12" x14ac:dyDescent="0.3">
      <c r="A4845" s="3"/>
      <c r="C4845" s="1"/>
      <c r="E4845" s="1"/>
      <c r="J4845" s="3"/>
      <c r="L4845" s="1"/>
    </row>
    <row r="4846" spans="1:12" x14ac:dyDescent="0.3">
      <c r="A4846" s="3"/>
      <c r="C4846" s="1"/>
      <c r="E4846" s="1"/>
      <c r="J4846" s="3"/>
      <c r="L4846" s="1"/>
    </row>
    <row r="4847" spans="1:12" x14ac:dyDescent="0.3">
      <c r="A4847" s="3"/>
      <c r="C4847" s="1"/>
      <c r="E4847" s="1"/>
      <c r="J4847" s="3"/>
      <c r="L4847" s="1"/>
    </row>
    <row r="4848" spans="1:12" x14ac:dyDescent="0.3">
      <c r="A4848" s="3"/>
      <c r="C4848" s="1"/>
      <c r="E4848" s="1"/>
      <c r="J4848" s="3"/>
      <c r="L4848" s="1"/>
    </row>
    <row r="4849" spans="1:12" x14ac:dyDescent="0.3">
      <c r="A4849" s="3"/>
      <c r="C4849" s="1"/>
      <c r="E4849" s="1"/>
      <c r="J4849" s="3"/>
      <c r="L4849" s="1"/>
    </row>
    <row r="4850" spans="1:12" x14ac:dyDescent="0.3">
      <c r="A4850" s="3"/>
      <c r="C4850" s="1"/>
      <c r="E4850" s="1"/>
      <c r="J4850" s="3"/>
      <c r="L4850" s="1"/>
    </row>
    <row r="4851" spans="1:12" x14ac:dyDescent="0.3">
      <c r="A4851" s="3"/>
      <c r="C4851" s="1"/>
      <c r="E4851" s="1"/>
      <c r="J4851" s="3"/>
      <c r="L4851" s="1"/>
    </row>
    <row r="4852" spans="1:12" x14ac:dyDescent="0.3">
      <c r="A4852" s="3"/>
      <c r="C4852" s="1"/>
      <c r="E4852" s="1"/>
      <c r="J4852" s="3"/>
      <c r="L4852" s="1"/>
    </row>
    <row r="4853" spans="1:12" x14ac:dyDescent="0.3">
      <c r="A4853" s="3"/>
      <c r="C4853" s="1"/>
      <c r="E4853" s="1"/>
      <c r="J4853" s="3"/>
      <c r="L4853" s="1"/>
    </row>
    <row r="4854" spans="1:12" x14ac:dyDescent="0.3">
      <c r="A4854" s="3"/>
      <c r="C4854" s="1"/>
      <c r="E4854" s="1"/>
      <c r="J4854" s="3"/>
      <c r="L4854" s="1"/>
    </row>
    <row r="4855" spans="1:12" x14ac:dyDescent="0.3">
      <c r="A4855" s="3"/>
      <c r="C4855" s="1"/>
      <c r="E4855" s="1"/>
      <c r="J4855" s="3"/>
      <c r="L4855" s="1"/>
    </row>
    <row r="4856" spans="1:12" x14ac:dyDescent="0.3">
      <c r="A4856" s="3"/>
      <c r="C4856" s="1"/>
      <c r="E4856" s="1"/>
      <c r="J4856" s="3"/>
      <c r="L4856" s="1"/>
    </row>
    <row r="4857" spans="1:12" x14ac:dyDescent="0.3">
      <c r="A4857" s="3"/>
      <c r="C4857" s="1"/>
      <c r="E4857" s="1"/>
      <c r="J4857" s="3"/>
      <c r="L4857" s="1"/>
    </row>
    <row r="4858" spans="1:12" x14ac:dyDescent="0.3">
      <c r="A4858" s="3"/>
      <c r="C4858" s="1"/>
      <c r="E4858" s="1"/>
      <c r="J4858" s="3"/>
      <c r="L4858" s="1"/>
    </row>
    <row r="4859" spans="1:12" x14ac:dyDescent="0.3">
      <c r="A4859" s="3"/>
      <c r="C4859" s="1"/>
      <c r="E4859" s="1"/>
      <c r="J4859" s="3"/>
      <c r="L4859" s="1"/>
    </row>
    <row r="4860" spans="1:12" x14ac:dyDescent="0.3">
      <c r="A4860" s="3"/>
      <c r="C4860" s="1"/>
      <c r="E4860" s="1"/>
      <c r="J4860" s="3"/>
      <c r="L4860" s="1"/>
    </row>
    <row r="4861" spans="1:12" x14ac:dyDescent="0.3">
      <c r="A4861" s="3"/>
      <c r="C4861" s="1"/>
      <c r="E4861" s="1"/>
      <c r="J4861" s="3"/>
      <c r="L4861" s="1"/>
    </row>
    <row r="4862" spans="1:12" x14ac:dyDescent="0.3">
      <c r="A4862" s="3"/>
      <c r="C4862" s="1"/>
      <c r="E4862" s="1"/>
      <c r="J4862" s="3"/>
      <c r="L4862" s="1"/>
    </row>
    <row r="4863" spans="1:12" x14ac:dyDescent="0.3">
      <c r="A4863" s="3"/>
      <c r="C4863" s="1"/>
      <c r="E4863" s="1"/>
      <c r="J4863" s="3"/>
      <c r="L4863" s="1"/>
    </row>
    <row r="4864" spans="1:12" x14ac:dyDescent="0.3">
      <c r="A4864" s="3"/>
      <c r="C4864" s="1"/>
      <c r="E4864" s="1"/>
      <c r="J4864" s="3"/>
      <c r="L4864" s="1"/>
    </row>
    <row r="4865" spans="1:12" x14ac:dyDescent="0.3">
      <c r="A4865" s="3"/>
      <c r="C4865" s="1"/>
      <c r="E4865" s="1"/>
      <c r="J4865" s="3"/>
      <c r="L4865" s="1"/>
    </row>
    <row r="4866" spans="1:12" x14ac:dyDescent="0.3">
      <c r="A4866" s="3"/>
      <c r="C4866" s="1"/>
      <c r="E4866" s="1"/>
      <c r="J4866" s="3"/>
      <c r="L4866" s="1"/>
    </row>
    <row r="4867" spans="1:12" x14ac:dyDescent="0.3">
      <c r="A4867" s="3"/>
      <c r="C4867" s="1"/>
      <c r="E4867" s="1"/>
      <c r="J4867" s="3"/>
      <c r="L4867" s="1"/>
    </row>
    <row r="4868" spans="1:12" x14ac:dyDescent="0.3">
      <c r="A4868" s="3"/>
      <c r="C4868" s="1"/>
      <c r="E4868" s="1"/>
      <c r="J4868" s="3"/>
      <c r="L4868" s="1"/>
    </row>
    <row r="4869" spans="1:12" x14ac:dyDescent="0.3">
      <c r="A4869" s="3"/>
      <c r="C4869" s="1"/>
      <c r="E4869" s="1"/>
      <c r="J4869" s="3"/>
      <c r="L4869" s="1"/>
    </row>
    <row r="4870" spans="1:12" x14ac:dyDescent="0.3">
      <c r="A4870" s="3"/>
      <c r="C4870" s="1"/>
      <c r="E4870" s="1"/>
      <c r="J4870" s="3"/>
      <c r="L4870" s="1"/>
    </row>
    <row r="4871" spans="1:12" x14ac:dyDescent="0.3">
      <c r="A4871" s="3"/>
      <c r="C4871" s="1"/>
      <c r="E4871" s="1"/>
      <c r="J4871" s="3"/>
      <c r="L4871" s="1"/>
    </row>
    <row r="4872" spans="1:12" x14ac:dyDescent="0.3">
      <c r="A4872" s="3"/>
      <c r="C4872" s="1"/>
      <c r="E4872" s="1"/>
      <c r="J4872" s="3"/>
      <c r="L4872" s="1"/>
    </row>
    <row r="4873" spans="1:12" x14ac:dyDescent="0.3">
      <c r="A4873" s="3"/>
      <c r="C4873" s="1"/>
      <c r="E4873" s="1"/>
      <c r="J4873" s="3"/>
      <c r="L4873" s="1"/>
    </row>
    <row r="4874" spans="1:12" x14ac:dyDescent="0.3">
      <c r="A4874" s="3"/>
      <c r="C4874" s="1"/>
      <c r="E4874" s="1"/>
      <c r="J4874" s="3"/>
      <c r="L4874" s="1"/>
    </row>
    <row r="4875" spans="1:12" x14ac:dyDescent="0.3">
      <c r="A4875" s="3"/>
      <c r="C4875" s="1"/>
      <c r="E4875" s="1"/>
      <c r="J4875" s="3"/>
      <c r="L4875" s="1"/>
    </row>
    <row r="4876" spans="1:12" x14ac:dyDescent="0.3">
      <c r="A4876" s="3"/>
      <c r="C4876" s="1"/>
      <c r="E4876" s="1"/>
      <c r="J4876" s="3"/>
      <c r="L4876" s="1"/>
    </row>
    <row r="4877" spans="1:12" x14ac:dyDescent="0.3">
      <c r="A4877" s="3"/>
      <c r="C4877" s="1"/>
      <c r="E4877" s="1"/>
      <c r="J4877" s="3"/>
      <c r="L4877" s="1"/>
    </row>
    <row r="4878" spans="1:12" x14ac:dyDescent="0.3">
      <c r="A4878" s="3"/>
      <c r="C4878" s="1"/>
      <c r="E4878" s="1"/>
      <c r="J4878" s="3"/>
      <c r="L4878" s="1"/>
    </row>
    <row r="4879" spans="1:12" x14ac:dyDescent="0.3">
      <c r="A4879" s="3"/>
      <c r="C4879" s="1"/>
      <c r="E4879" s="1"/>
      <c r="J4879" s="3"/>
      <c r="L4879" s="1"/>
    </row>
    <row r="4880" spans="1:12" x14ac:dyDescent="0.3">
      <c r="A4880" s="3"/>
      <c r="C4880" s="1"/>
      <c r="E4880" s="1"/>
      <c r="J4880" s="3"/>
      <c r="L4880" s="1"/>
    </row>
    <row r="4881" spans="1:12" x14ac:dyDescent="0.3">
      <c r="A4881" s="3"/>
      <c r="C4881" s="1"/>
      <c r="E4881" s="1"/>
      <c r="J4881" s="3"/>
      <c r="L4881" s="1"/>
    </row>
    <row r="4882" spans="1:12" x14ac:dyDescent="0.3">
      <c r="A4882" s="3"/>
      <c r="C4882" s="1"/>
      <c r="E4882" s="1"/>
      <c r="J4882" s="3"/>
      <c r="L4882" s="1"/>
    </row>
    <row r="4883" spans="1:12" x14ac:dyDescent="0.3">
      <c r="A4883" s="3"/>
      <c r="C4883" s="1"/>
      <c r="E4883" s="1"/>
      <c r="J4883" s="3"/>
      <c r="L4883" s="1"/>
    </row>
    <row r="4884" spans="1:12" x14ac:dyDescent="0.3">
      <c r="A4884" s="3"/>
      <c r="C4884" s="1"/>
      <c r="E4884" s="1"/>
      <c r="J4884" s="3"/>
      <c r="L4884" s="1"/>
    </row>
    <row r="4885" spans="1:12" x14ac:dyDescent="0.3">
      <c r="A4885" s="3"/>
      <c r="C4885" s="1"/>
      <c r="E4885" s="1"/>
      <c r="J4885" s="3"/>
      <c r="L4885" s="1"/>
    </row>
    <row r="4886" spans="1:12" x14ac:dyDescent="0.3">
      <c r="A4886" s="3"/>
      <c r="C4886" s="1"/>
      <c r="E4886" s="1"/>
      <c r="J4886" s="3"/>
      <c r="L4886" s="1"/>
    </row>
    <row r="4887" spans="1:12" x14ac:dyDescent="0.3">
      <c r="A4887" s="3"/>
      <c r="C4887" s="1"/>
      <c r="E4887" s="1"/>
      <c r="J4887" s="3"/>
      <c r="L4887" s="1"/>
    </row>
    <row r="4888" spans="1:12" x14ac:dyDescent="0.3">
      <c r="A4888" s="3"/>
      <c r="C4888" s="1"/>
      <c r="E4888" s="1"/>
      <c r="J4888" s="3"/>
      <c r="L4888" s="1"/>
    </row>
    <row r="4889" spans="1:12" x14ac:dyDescent="0.3">
      <c r="A4889" s="3"/>
      <c r="C4889" s="1"/>
      <c r="E4889" s="1"/>
      <c r="J4889" s="3"/>
      <c r="L4889" s="1"/>
    </row>
    <row r="4890" spans="1:12" x14ac:dyDescent="0.3">
      <c r="A4890" s="3"/>
      <c r="C4890" s="1"/>
      <c r="E4890" s="1"/>
      <c r="J4890" s="3"/>
      <c r="L4890" s="1"/>
    </row>
    <row r="4891" spans="1:12" x14ac:dyDescent="0.3">
      <c r="A4891" s="3"/>
      <c r="C4891" s="1"/>
      <c r="E4891" s="1"/>
      <c r="J4891" s="3"/>
      <c r="L4891" s="1"/>
    </row>
    <row r="4892" spans="1:12" x14ac:dyDescent="0.3">
      <c r="A4892" s="3"/>
      <c r="C4892" s="1"/>
      <c r="E4892" s="1"/>
      <c r="J4892" s="3"/>
      <c r="L4892" s="1"/>
    </row>
    <row r="4893" spans="1:12" x14ac:dyDescent="0.3">
      <c r="A4893" s="3"/>
      <c r="C4893" s="1"/>
      <c r="E4893" s="1"/>
      <c r="J4893" s="3"/>
      <c r="L4893" s="1"/>
    </row>
    <row r="4894" spans="1:12" x14ac:dyDescent="0.3">
      <c r="A4894" s="3"/>
      <c r="C4894" s="1"/>
      <c r="E4894" s="1"/>
      <c r="J4894" s="3"/>
      <c r="L4894" s="1"/>
    </row>
    <row r="4895" spans="1:12" x14ac:dyDescent="0.3">
      <c r="A4895" s="3"/>
      <c r="C4895" s="1"/>
      <c r="E4895" s="1"/>
      <c r="J4895" s="3"/>
      <c r="L4895" s="1"/>
    </row>
    <row r="4896" spans="1:12" x14ac:dyDescent="0.3">
      <c r="A4896" s="3"/>
      <c r="C4896" s="1"/>
      <c r="E4896" s="1"/>
      <c r="J4896" s="3"/>
      <c r="L4896" s="1"/>
    </row>
    <row r="4897" spans="1:12" x14ac:dyDescent="0.3">
      <c r="A4897" s="3"/>
      <c r="C4897" s="1"/>
      <c r="E4897" s="1"/>
      <c r="J4897" s="3"/>
      <c r="L4897" s="1"/>
    </row>
    <row r="4898" spans="1:12" x14ac:dyDescent="0.3">
      <c r="A4898" s="3"/>
      <c r="C4898" s="1"/>
      <c r="E4898" s="1"/>
      <c r="J4898" s="3"/>
      <c r="L4898" s="1"/>
    </row>
    <row r="4899" spans="1:12" x14ac:dyDescent="0.3">
      <c r="A4899" s="3"/>
      <c r="C4899" s="1"/>
      <c r="E4899" s="1"/>
      <c r="J4899" s="3"/>
      <c r="L4899" s="1"/>
    </row>
    <row r="4900" spans="1:12" x14ac:dyDescent="0.3">
      <c r="A4900" s="3"/>
      <c r="C4900" s="1"/>
      <c r="E4900" s="1"/>
      <c r="J4900" s="3"/>
      <c r="L4900" s="1"/>
    </row>
    <row r="4901" spans="1:12" x14ac:dyDescent="0.3">
      <c r="A4901" s="3"/>
      <c r="C4901" s="1"/>
      <c r="E4901" s="1"/>
      <c r="J4901" s="3"/>
      <c r="L4901" s="1"/>
    </row>
    <row r="4902" spans="1:12" x14ac:dyDescent="0.3">
      <c r="A4902" s="3"/>
      <c r="C4902" s="1"/>
      <c r="E4902" s="1"/>
      <c r="J4902" s="3"/>
      <c r="L4902" s="1"/>
    </row>
    <row r="4903" spans="1:12" x14ac:dyDescent="0.3">
      <c r="A4903" s="3"/>
      <c r="C4903" s="1"/>
      <c r="E4903" s="1"/>
      <c r="J4903" s="3"/>
      <c r="L4903" s="1"/>
    </row>
    <row r="4904" spans="1:12" x14ac:dyDescent="0.3">
      <c r="A4904" s="3"/>
      <c r="C4904" s="1"/>
      <c r="E4904" s="1"/>
      <c r="J4904" s="3"/>
      <c r="L4904" s="1"/>
    </row>
    <row r="4905" spans="1:12" x14ac:dyDescent="0.3">
      <c r="A4905" s="3"/>
      <c r="C4905" s="1"/>
      <c r="E4905" s="1"/>
      <c r="J4905" s="3"/>
      <c r="L4905" s="1"/>
    </row>
    <row r="4906" spans="1:12" x14ac:dyDescent="0.3">
      <c r="A4906" s="3"/>
      <c r="C4906" s="1"/>
      <c r="E4906" s="1"/>
      <c r="J4906" s="3"/>
      <c r="L4906" s="1"/>
    </row>
    <row r="4907" spans="1:12" x14ac:dyDescent="0.3">
      <c r="A4907" s="3"/>
      <c r="C4907" s="1"/>
      <c r="E4907" s="1"/>
      <c r="J4907" s="3"/>
      <c r="L4907" s="1"/>
    </row>
    <row r="4908" spans="1:12" x14ac:dyDescent="0.3">
      <c r="A4908" s="3"/>
      <c r="C4908" s="1"/>
      <c r="E4908" s="1"/>
      <c r="J4908" s="3"/>
      <c r="L4908" s="1"/>
    </row>
    <row r="4909" spans="1:12" x14ac:dyDescent="0.3">
      <c r="A4909" s="3"/>
      <c r="C4909" s="1"/>
      <c r="E4909" s="1"/>
      <c r="J4909" s="3"/>
      <c r="L4909" s="1"/>
    </row>
    <row r="4910" spans="1:12" x14ac:dyDescent="0.3">
      <c r="A4910" s="3"/>
      <c r="C4910" s="1"/>
      <c r="E4910" s="1"/>
      <c r="J4910" s="3"/>
      <c r="L4910" s="1"/>
    </row>
    <row r="4911" spans="1:12" x14ac:dyDescent="0.3">
      <c r="A4911" s="3"/>
      <c r="C4911" s="1"/>
      <c r="E4911" s="1"/>
      <c r="J4911" s="3"/>
      <c r="L4911" s="1"/>
    </row>
    <row r="4912" spans="1:12" x14ac:dyDescent="0.3">
      <c r="A4912" s="3"/>
      <c r="C4912" s="1"/>
      <c r="E4912" s="1"/>
      <c r="J4912" s="3"/>
      <c r="L4912" s="1"/>
    </row>
    <row r="4913" spans="1:12" x14ac:dyDescent="0.3">
      <c r="A4913" s="3"/>
      <c r="C4913" s="1"/>
      <c r="E4913" s="1"/>
      <c r="J4913" s="3"/>
      <c r="L4913" s="1"/>
    </row>
    <row r="4914" spans="1:12" x14ac:dyDescent="0.3">
      <c r="A4914" s="3"/>
      <c r="C4914" s="1"/>
      <c r="E4914" s="1"/>
      <c r="J4914" s="3"/>
      <c r="L4914" s="1"/>
    </row>
    <row r="4915" spans="1:12" x14ac:dyDescent="0.3">
      <c r="A4915" s="3"/>
      <c r="C4915" s="1"/>
      <c r="E4915" s="1"/>
      <c r="J4915" s="3"/>
      <c r="L4915" s="1"/>
    </row>
    <row r="4916" spans="1:12" x14ac:dyDescent="0.3">
      <c r="A4916" s="3"/>
      <c r="C4916" s="1"/>
      <c r="E4916" s="1"/>
      <c r="J4916" s="3"/>
      <c r="L4916" s="1"/>
    </row>
    <row r="4917" spans="1:12" x14ac:dyDescent="0.3">
      <c r="A4917" s="3"/>
      <c r="C4917" s="1"/>
      <c r="E4917" s="1"/>
      <c r="J4917" s="3"/>
      <c r="L4917" s="1"/>
    </row>
    <row r="4918" spans="1:12" x14ac:dyDescent="0.3">
      <c r="A4918" s="3"/>
      <c r="C4918" s="1"/>
      <c r="E4918" s="1"/>
      <c r="J4918" s="3"/>
      <c r="L4918" s="1"/>
    </row>
    <row r="4919" spans="1:12" x14ac:dyDescent="0.3">
      <c r="A4919" s="3"/>
      <c r="C4919" s="1"/>
      <c r="E4919" s="1"/>
      <c r="J4919" s="3"/>
      <c r="L4919" s="1"/>
    </row>
    <row r="4920" spans="1:12" x14ac:dyDescent="0.3">
      <c r="A4920" s="3"/>
      <c r="C4920" s="1"/>
      <c r="E4920" s="1"/>
      <c r="J4920" s="3"/>
      <c r="L4920" s="1"/>
    </row>
    <row r="4921" spans="1:12" x14ac:dyDescent="0.3">
      <c r="A4921" s="3"/>
      <c r="C4921" s="1"/>
      <c r="E4921" s="1"/>
      <c r="J4921" s="3"/>
      <c r="L4921" s="1"/>
    </row>
    <row r="4922" spans="1:12" x14ac:dyDescent="0.3">
      <c r="A4922" s="3"/>
      <c r="C4922" s="1"/>
      <c r="E4922" s="1"/>
      <c r="J4922" s="3"/>
      <c r="L4922" s="1"/>
    </row>
    <row r="4923" spans="1:12" x14ac:dyDescent="0.3">
      <c r="A4923" s="3"/>
      <c r="C4923" s="1"/>
      <c r="E4923" s="1"/>
      <c r="J4923" s="3"/>
      <c r="L4923" s="1"/>
    </row>
    <row r="4924" spans="1:12" x14ac:dyDescent="0.3">
      <c r="A4924" s="3"/>
      <c r="C4924" s="1"/>
      <c r="E4924" s="1"/>
      <c r="J4924" s="3"/>
      <c r="L4924" s="1"/>
    </row>
    <row r="4925" spans="1:12" x14ac:dyDescent="0.3">
      <c r="A4925" s="3"/>
      <c r="C4925" s="1"/>
      <c r="E4925" s="1"/>
      <c r="J4925" s="3"/>
      <c r="L4925" s="1"/>
    </row>
    <row r="4926" spans="1:12" x14ac:dyDescent="0.3">
      <c r="A4926" s="3"/>
      <c r="C4926" s="1"/>
      <c r="E4926" s="1"/>
      <c r="J4926" s="3"/>
      <c r="L4926" s="1"/>
    </row>
    <row r="4927" spans="1:12" x14ac:dyDescent="0.3">
      <c r="A4927" s="3"/>
      <c r="C4927" s="1"/>
      <c r="E4927" s="1"/>
      <c r="J4927" s="3"/>
      <c r="L4927" s="1"/>
    </row>
    <row r="4928" spans="1:12" x14ac:dyDescent="0.3">
      <c r="A4928" s="3"/>
      <c r="C4928" s="1"/>
      <c r="E4928" s="1"/>
      <c r="J4928" s="3"/>
      <c r="L4928" s="1"/>
    </row>
    <row r="4929" spans="1:12" x14ac:dyDescent="0.3">
      <c r="A4929" s="3"/>
      <c r="C4929" s="1"/>
      <c r="E4929" s="1"/>
      <c r="J4929" s="3"/>
      <c r="L4929" s="1"/>
    </row>
    <row r="4930" spans="1:12" x14ac:dyDescent="0.3">
      <c r="A4930" s="3"/>
      <c r="C4930" s="1"/>
      <c r="E4930" s="1"/>
      <c r="J4930" s="3"/>
      <c r="L4930" s="1"/>
    </row>
    <row r="4931" spans="1:12" x14ac:dyDescent="0.3">
      <c r="A4931" s="3"/>
      <c r="C4931" s="1"/>
      <c r="E4931" s="1"/>
      <c r="J4931" s="3"/>
      <c r="L4931" s="1"/>
    </row>
    <row r="4932" spans="1:12" x14ac:dyDescent="0.3">
      <c r="A4932" s="3"/>
      <c r="C4932" s="1"/>
      <c r="E4932" s="1"/>
      <c r="J4932" s="3"/>
      <c r="L4932" s="1"/>
    </row>
    <row r="4933" spans="1:12" x14ac:dyDescent="0.3">
      <c r="A4933" s="3"/>
      <c r="C4933" s="1"/>
      <c r="E4933" s="1"/>
      <c r="J4933" s="3"/>
      <c r="L4933" s="1"/>
    </row>
    <row r="4934" spans="1:12" x14ac:dyDescent="0.3">
      <c r="A4934" s="3"/>
      <c r="C4934" s="1"/>
      <c r="E4934" s="1"/>
      <c r="J4934" s="3"/>
      <c r="L4934" s="1"/>
    </row>
    <row r="4935" spans="1:12" x14ac:dyDescent="0.3">
      <c r="A4935" s="3"/>
      <c r="C4935" s="1"/>
      <c r="E4935" s="1"/>
      <c r="J4935" s="3"/>
      <c r="L4935" s="1"/>
    </row>
    <row r="4936" spans="1:12" x14ac:dyDescent="0.3">
      <c r="A4936" s="3"/>
      <c r="C4936" s="1"/>
      <c r="E4936" s="1"/>
      <c r="J4936" s="3"/>
      <c r="L4936" s="1"/>
    </row>
    <row r="4937" spans="1:12" x14ac:dyDescent="0.3">
      <c r="A4937" s="3"/>
      <c r="C4937" s="1"/>
      <c r="E4937" s="1"/>
      <c r="J4937" s="3"/>
      <c r="L4937" s="1"/>
    </row>
    <row r="4938" spans="1:12" x14ac:dyDescent="0.3">
      <c r="A4938" s="3"/>
      <c r="C4938" s="1"/>
      <c r="E4938" s="1"/>
      <c r="J4938" s="3"/>
      <c r="L4938" s="1"/>
    </row>
    <row r="4939" spans="1:12" x14ac:dyDescent="0.3">
      <c r="A4939" s="3"/>
      <c r="C4939" s="1"/>
      <c r="E4939" s="1"/>
      <c r="J4939" s="3"/>
      <c r="L4939" s="1"/>
    </row>
    <row r="4940" spans="1:12" x14ac:dyDescent="0.3">
      <c r="A4940" s="3"/>
      <c r="C4940" s="1"/>
      <c r="E4940" s="1"/>
      <c r="J4940" s="3"/>
      <c r="L4940" s="1"/>
    </row>
    <row r="4941" spans="1:12" x14ac:dyDescent="0.3">
      <c r="A4941" s="3"/>
      <c r="C4941" s="1"/>
      <c r="E4941" s="1"/>
      <c r="J4941" s="3"/>
      <c r="L4941" s="1"/>
    </row>
    <row r="4942" spans="1:12" x14ac:dyDescent="0.3">
      <c r="A4942" s="3"/>
      <c r="C4942" s="1"/>
      <c r="E4942" s="1"/>
      <c r="J4942" s="3"/>
      <c r="L4942" s="1"/>
    </row>
    <row r="4943" spans="1:12" x14ac:dyDescent="0.3">
      <c r="A4943" s="3"/>
      <c r="C4943" s="1"/>
      <c r="E4943" s="1"/>
      <c r="J4943" s="3"/>
      <c r="L4943" s="1"/>
    </row>
    <row r="4944" spans="1:12" x14ac:dyDescent="0.3">
      <c r="A4944" s="3"/>
      <c r="C4944" s="1"/>
      <c r="E4944" s="1"/>
      <c r="J4944" s="3"/>
      <c r="L4944" s="1"/>
    </row>
    <row r="4945" spans="1:12" x14ac:dyDescent="0.3">
      <c r="A4945" s="3"/>
      <c r="C4945" s="1"/>
      <c r="E4945" s="1"/>
      <c r="J4945" s="3"/>
      <c r="L4945" s="1"/>
    </row>
    <row r="4946" spans="1:12" x14ac:dyDescent="0.3">
      <c r="A4946" s="3"/>
      <c r="C4946" s="1"/>
      <c r="E4946" s="1"/>
      <c r="J4946" s="3"/>
      <c r="L4946" s="1"/>
    </row>
    <row r="4947" spans="1:12" x14ac:dyDescent="0.3">
      <c r="A4947" s="3"/>
      <c r="C4947" s="1"/>
      <c r="E4947" s="1"/>
      <c r="J4947" s="3"/>
      <c r="L4947" s="1"/>
    </row>
    <row r="4948" spans="1:12" x14ac:dyDescent="0.3">
      <c r="A4948" s="3"/>
      <c r="C4948" s="1"/>
      <c r="E4948" s="1"/>
      <c r="J4948" s="3"/>
      <c r="L4948" s="1"/>
    </row>
    <row r="4949" spans="1:12" x14ac:dyDescent="0.3">
      <c r="A4949" s="3"/>
      <c r="C4949" s="1"/>
      <c r="E4949" s="1"/>
      <c r="J4949" s="3"/>
      <c r="L4949" s="1"/>
    </row>
    <row r="4950" spans="1:12" x14ac:dyDescent="0.3">
      <c r="A4950" s="3"/>
      <c r="C4950" s="1"/>
      <c r="E4950" s="1"/>
      <c r="J4950" s="3"/>
      <c r="L4950" s="1"/>
    </row>
    <row r="4951" spans="1:12" x14ac:dyDescent="0.3">
      <c r="A4951" s="3"/>
      <c r="C4951" s="1"/>
      <c r="E4951" s="1"/>
      <c r="J4951" s="3"/>
      <c r="L4951" s="1"/>
    </row>
    <row r="4952" spans="1:12" x14ac:dyDescent="0.3">
      <c r="A4952" s="3"/>
      <c r="C4952" s="1"/>
      <c r="E4952" s="1"/>
      <c r="J4952" s="3"/>
      <c r="L4952" s="1"/>
    </row>
    <row r="4953" spans="1:12" x14ac:dyDescent="0.3">
      <c r="A4953" s="3"/>
      <c r="C4953" s="1"/>
      <c r="E4953" s="1"/>
      <c r="J4953" s="3"/>
      <c r="L4953" s="1"/>
    </row>
    <row r="4954" spans="1:12" x14ac:dyDescent="0.3">
      <c r="A4954" s="3"/>
      <c r="C4954" s="1"/>
      <c r="E4954" s="1"/>
      <c r="J4954" s="3"/>
      <c r="L4954" s="1"/>
    </row>
    <row r="4955" spans="1:12" x14ac:dyDescent="0.3">
      <c r="A4955" s="3"/>
      <c r="C4955" s="1"/>
      <c r="E4955" s="1"/>
      <c r="J4955" s="3"/>
      <c r="L4955" s="1"/>
    </row>
    <row r="4956" spans="1:12" x14ac:dyDescent="0.3">
      <c r="A4956" s="3"/>
      <c r="C4956" s="1"/>
      <c r="E4956" s="1"/>
      <c r="J4956" s="3"/>
      <c r="L4956" s="1"/>
    </row>
    <row r="4957" spans="1:12" x14ac:dyDescent="0.3">
      <c r="A4957" s="3"/>
      <c r="C4957" s="1"/>
      <c r="E4957" s="1"/>
      <c r="J4957" s="3"/>
      <c r="L4957" s="1"/>
    </row>
    <row r="4958" spans="1:12" x14ac:dyDescent="0.3">
      <c r="A4958" s="3"/>
      <c r="C4958" s="1"/>
      <c r="E4958" s="1"/>
      <c r="J4958" s="3"/>
      <c r="L4958" s="1"/>
    </row>
    <row r="4959" spans="1:12" x14ac:dyDescent="0.3">
      <c r="A4959" s="3"/>
      <c r="C4959" s="1"/>
      <c r="E4959" s="1"/>
      <c r="J4959" s="3"/>
      <c r="L4959" s="1"/>
    </row>
    <row r="4960" spans="1:12" x14ac:dyDescent="0.3">
      <c r="A4960" s="3"/>
      <c r="C4960" s="1"/>
      <c r="E4960" s="1"/>
      <c r="J4960" s="3"/>
      <c r="L4960" s="1"/>
    </row>
    <row r="4961" spans="1:12" x14ac:dyDescent="0.3">
      <c r="A4961" s="3"/>
      <c r="C4961" s="1"/>
      <c r="E4961" s="1"/>
      <c r="J4961" s="3"/>
      <c r="L4961" s="1"/>
    </row>
    <row r="4962" spans="1:12" x14ac:dyDescent="0.3">
      <c r="A4962" s="3"/>
      <c r="C4962" s="1"/>
      <c r="E4962" s="1"/>
      <c r="J4962" s="3"/>
      <c r="L4962" s="1"/>
    </row>
    <row r="4963" spans="1:12" x14ac:dyDescent="0.3">
      <c r="A4963" s="3"/>
      <c r="C4963" s="1"/>
      <c r="E4963" s="1"/>
      <c r="J4963" s="3"/>
      <c r="L4963" s="1"/>
    </row>
    <row r="4964" spans="1:12" x14ac:dyDescent="0.3">
      <c r="A4964" s="3"/>
      <c r="C4964" s="1"/>
      <c r="E4964" s="1"/>
      <c r="J4964" s="3"/>
      <c r="L4964" s="1"/>
    </row>
    <row r="4965" spans="1:12" x14ac:dyDescent="0.3">
      <c r="A4965" s="3"/>
      <c r="C4965" s="1"/>
      <c r="E4965" s="1"/>
      <c r="J4965" s="3"/>
      <c r="L4965" s="1"/>
    </row>
    <row r="4966" spans="1:12" x14ac:dyDescent="0.3">
      <c r="A4966" s="3"/>
      <c r="C4966" s="1"/>
      <c r="E4966" s="1"/>
      <c r="J4966" s="3"/>
      <c r="L4966" s="1"/>
    </row>
    <row r="4967" spans="1:12" x14ac:dyDescent="0.3">
      <c r="A4967" s="3"/>
      <c r="C4967" s="1"/>
      <c r="E4967" s="1"/>
      <c r="J4967" s="3"/>
      <c r="L4967" s="1"/>
    </row>
    <row r="4968" spans="1:12" x14ac:dyDescent="0.3">
      <c r="A4968" s="3"/>
      <c r="C4968" s="1"/>
      <c r="E4968" s="1"/>
      <c r="J4968" s="3"/>
      <c r="L4968" s="1"/>
    </row>
    <row r="4969" spans="1:12" x14ac:dyDescent="0.3">
      <c r="A4969" s="3"/>
      <c r="C4969" s="1"/>
      <c r="E4969" s="1"/>
      <c r="J4969" s="3"/>
      <c r="L4969" s="1"/>
    </row>
    <row r="4970" spans="1:12" x14ac:dyDescent="0.3">
      <c r="A4970" s="3"/>
      <c r="C4970" s="1"/>
      <c r="E4970" s="1"/>
      <c r="J4970" s="3"/>
      <c r="L4970" s="1"/>
    </row>
    <row r="4971" spans="1:12" x14ac:dyDescent="0.3">
      <c r="A4971" s="3"/>
      <c r="C4971" s="1"/>
      <c r="E4971" s="1"/>
      <c r="J4971" s="3"/>
      <c r="L4971" s="1"/>
    </row>
    <row r="4972" spans="1:12" x14ac:dyDescent="0.3">
      <c r="A4972" s="3"/>
      <c r="C4972" s="1"/>
      <c r="E4972" s="1"/>
      <c r="J4972" s="3"/>
      <c r="L4972" s="1"/>
    </row>
    <row r="4973" spans="1:12" x14ac:dyDescent="0.3">
      <c r="A4973" s="3"/>
      <c r="C4973" s="1"/>
      <c r="E4973" s="1"/>
      <c r="J4973" s="3"/>
      <c r="L4973" s="1"/>
    </row>
    <row r="4974" spans="1:12" x14ac:dyDescent="0.3">
      <c r="A4974" s="3"/>
      <c r="C4974" s="1"/>
      <c r="E4974" s="1"/>
      <c r="J4974" s="3"/>
      <c r="L4974" s="1"/>
    </row>
    <row r="4975" spans="1:12" x14ac:dyDescent="0.3">
      <c r="A4975" s="3"/>
      <c r="C4975" s="1"/>
      <c r="E4975" s="1"/>
      <c r="J4975" s="3"/>
      <c r="L4975" s="1"/>
    </row>
    <row r="4976" spans="1:12" x14ac:dyDescent="0.3">
      <c r="A4976" s="3"/>
      <c r="C4976" s="1"/>
      <c r="E4976" s="1"/>
      <c r="J4976" s="3"/>
      <c r="L4976" s="1"/>
    </row>
    <row r="4977" spans="1:12" x14ac:dyDescent="0.3">
      <c r="A4977" s="3"/>
      <c r="C4977" s="1"/>
      <c r="E4977" s="1"/>
      <c r="J4977" s="3"/>
      <c r="L4977" s="1"/>
    </row>
    <row r="4978" spans="1:12" x14ac:dyDescent="0.3">
      <c r="A4978" s="3"/>
      <c r="C4978" s="1"/>
      <c r="E4978" s="1"/>
      <c r="J4978" s="3"/>
      <c r="L4978" s="1"/>
    </row>
    <row r="4979" spans="1:12" x14ac:dyDescent="0.3">
      <c r="A4979" s="3"/>
      <c r="C4979" s="1"/>
      <c r="E4979" s="1"/>
      <c r="J4979" s="3"/>
      <c r="L4979" s="1"/>
    </row>
    <row r="4980" spans="1:12" x14ac:dyDescent="0.3">
      <c r="A4980" s="3"/>
      <c r="C4980" s="1"/>
      <c r="E4980" s="1"/>
      <c r="J4980" s="3"/>
      <c r="L4980" s="1"/>
    </row>
    <row r="4981" spans="1:12" x14ac:dyDescent="0.3">
      <c r="A4981" s="3"/>
      <c r="C4981" s="1"/>
      <c r="E4981" s="1"/>
      <c r="J4981" s="3"/>
      <c r="L4981" s="1"/>
    </row>
    <row r="4982" spans="1:12" x14ac:dyDescent="0.3">
      <c r="A4982" s="3"/>
      <c r="C4982" s="1"/>
      <c r="E4982" s="1"/>
      <c r="J4982" s="3"/>
      <c r="L4982" s="1"/>
    </row>
    <row r="4983" spans="1:12" x14ac:dyDescent="0.3">
      <c r="A4983" s="3"/>
      <c r="C4983" s="1"/>
      <c r="E4983" s="1"/>
      <c r="J4983" s="3"/>
      <c r="L4983" s="1"/>
    </row>
    <row r="4984" spans="1:12" x14ac:dyDescent="0.3">
      <c r="A4984" s="3"/>
      <c r="C4984" s="1"/>
      <c r="E4984" s="1"/>
      <c r="J4984" s="3"/>
      <c r="L4984" s="1"/>
    </row>
    <row r="4985" spans="1:12" x14ac:dyDescent="0.3">
      <c r="A4985" s="3"/>
      <c r="C4985" s="1"/>
      <c r="E4985" s="1"/>
      <c r="J4985" s="3"/>
      <c r="L4985" s="1"/>
    </row>
    <row r="4986" spans="1:12" x14ac:dyDescent="0.3">
      <c r="A4986" s="3"/>
      <c r="C4986" s="1"/>
      <c r="E4986" s="1"/>
      <c r="J4986" s="3"/>
      <c r="L4986" s="1"/>
    </row>
    <row r="4987" spans="1:12" x14ac:dyDescent="0.3">
      <c r="A4987" s="3"/>
      <c r="C4987" s="1"/>
      <c r="E4987" s="1"/>
      <c r="J4987" s="3"/>
      <c r="L4987" s="1"/>
    </row>
    <row r="4988" spans="1:12" x14ac:dyDescent="0.3">
      <c r="A4988" s="3"/>
      <c r="C4988" s="1"/>
      <c r="E4988" s="1"/>
      <c r="J4988" s="3"/>
      <c r="L4988" s="1"/>
    </row>
    <row r="4989" spans="1:12" x14ac:dyDescent="0.3">
      <c r="A4989" s="3"/>
      <c r="C4989" s="1"/>
      <c r="E4989" s="1"/>
      <c r="J4989" s="3"/>
      <c r="L4989" s="1"/>
    </row>
    <row r="4990" spans="1:12" x14ac:dyDescent="0.3">
      <c r="A4990" s="3"/>
      <c r="C4990" s="1"/>
      <c r="E4990" s="1"/>
      <c r="J4990" s="3"/>
      <c r="L4990" s="1"/>
    </row>
    <row r="4991" spans="1:12" x14ac:dyDescent="0.3">
      <c r="A4991" s="3"/>
      <c r="C4991" s="1"/>
      <c r="E4991" s="1"/>
      <c r="J4991" s="3"/>
      <c r="L4991" s="1"/>
    </row>
    <row r="4992" spans="1:12" x14ac:dyDescent="0.3">
      <c r="A4992" s="3"/>
      <c r="C4992" s="1"/>
      <c r="E4992" s="1"/>
      <c r="J4992" s="3"/>
      <c r="L4992" s="1"/>
    </row>
    <row r="4993" spans="1:12" x14ac:dyDescent="0.3">
      <c r="A4993" s="3"/>
      <c r="C4993" s="1"/>
      <c r="E4993" s="1"/>
      <c r="J4993" s="3"/>
      <c r="L4993" s="1"/>
    </row>
    <row r="4994" spans="1:12" x14ac:dyDescent="0.3">
      <c r="A4994" s="3"/>
      <c r="C4994" s="1"/>
      <c r="E4994" s="1"/>
      <c r="J4994" s="3"/>
      <c r="L4994" s="1"/>
    </row>
    <row r="4995" spans="1:12" x14ac:dyDescent="0.3">
      <c r="A4995" s="3"/>
      <c r="C4995" s="1"/>
      <c r="E4995" s="1"/>
      <c r="J4995" s="3"/>
      <c r="L4995" s="1"/>
    </row>
    <row r="4996" spans="1:12" x14ac:dyDescent="0.3">
      <c r="A4996" s="3"/>
      <c r="C4996" s="1"/>
      <c r="E4996" s="1"/>
      <c r="J4996" s="3"/>
      <c r="L4996" s="1"/>
    </row>
    <row r="4997" spans="1:12" x14ac:dyDescent="0.3">
      <c r="A4997" s="3"/>
      <c r="C4997" s="1"/>
      <c r="E4997" s="1"/>
      <c r="J4997" s="3"/>
      <c r="L4997" s="1"/>
    </row>
    <row r="4998" spans="1:12" x14ac:dyDescent="0.3">
      <c r="A4998" s="3"/>
      <c r="C4998" s="1"/>
      <c r="E4998" s="1"/>
      <c r="J4998" s="3"/>
      <c r="L4998" s="1"/>
    </row>
    <row r="4999" spans="1:12" x14ac:dyDescent="0.3">
      <c r="A4999" s="3"/>
      <c r="C4999" s="1"/>
      <c r="E4999" s="1"/>
      <c r="J4999" s="3"/>
      <c r="L4999" s="1"/>
    </row>
    <row r="5000" spans="1:12" x14ac:dyDescent="0.3">
      <c r="A5000" s="3"/>
      <c r="C5000" s="1"/>
      <c r="E5000" s="1"/>
      <c r="J5000" s="3"/>
      <c r="L5000" s="1"/>
    </row>
  </sheetData>
  <hyperlinks>
    <hyperlink ref="J2" r:id="rId1" xr:uid="{ED40A54F-0169-4715-8EE6-9F7CC3A99797}"/>
    <hyperlink ref="J3" r:id="rId2" xr:uid="{B76ECA55-99C2-41F8-9CCF-9B374849DDD2}"/>
    <hyperlink ref="J4" r:id="rId3" xr:uid="{828D9934-B42B-4EA0-A83E-955C7DE69BE8}"/>
    <hyperlink ref="J5" r:id="rId4" xr:uid="{3DF4E9AE-8E39-49F3-A4EA-CE788FB66702}"/>
    <hyperlink ref="J6" r:id="rId5" xr:uid="{D9812717-7116-4F42-B347-879CCBCE70F7}"/>
    <hyperlink ref="J7" r:id="rId6" xr:uid="{E6F3B78E-07E4-4074-AC72-EC7DB6FD5DAD}"/>
    <hyperlink ref="J8" r:id="rId7" xr:uid="{FAE9274A-BAEB-4860-AA54-8E2D3E12E9A4}"/>
    <hyperlink ref="J9" r:id="rId8" xr:uid="{634CCA44-C3F8-479E-85C1-AFD0C80EAA98}"/>
    <hyperlink ref="J10" r:id="rId9" xr:uid="{5B0C416C-5E21-4A86-83C7-BACAFAC048B9}"/>
    <hyperlink ref="J11" r:id="rId10" xr:uid="{58D09BB6-0776-4E8B-B9D4-1EBB555BAFEA}"/>
    <hyperlink ref="J12" r:id="rId11" xr:uid="{D38255AC-19B3-4881-8B06-137505916786}"/>
    <hyperlink ref="J13" r:id="rId12" xr:uid="{7E4DCEA1-CDF8-430A-82AC-E703EC3D2E30}"/>
    <hyperlink ref="J14" r:id="rId13" xr:uid="{2C6B9346-6FF4-4E6E-A72D-C18C89BCCA0A}"/>
    <hyperlink ref="J15" r:id="rId14" xr:uid="{3A3E5D2E-E1A6-4603-840B-B9A250DD1E07}"/>
    <hyperlink ref="J16" r:id="rId15" xr:uid="{D595B53E-3EC1-4477-92F5-FB3C9EACF2DE}"/>
    <hyperlink ref="J17" r:id="rId16" xr:uid="{49E44491-AA43-418B-9588-6854EE822682}"/>
    <hyperlink ref="J18" r:id="rId17" xr:uid="{21BE33FF-184B-48F3-8DB4-425FEA2794FC}"/>
    <hyperlink ref="J19" r:id="rId18" xr:uid="{190BABB9-DB0F-4D67-A641-7366D4A4A6E7}"/>
    <hyperlink ref="J20" r:id="rId19" xr:uid="{4199AFAD-9C1B-4672-979C-3677CCE4D038}"/>
    <hyperlink ref="J21" r:id="rId20" xr:uid="{BBF5B7E5-5DF5-4519-98CC-44069585F492}"/>
    <hyperlink ref="J22" r:id="rId21" xr:uid="{E99CF2DC-7946-4934-A53B-2BEAB1C73E6C}"/>
    <hyperlink ref="J23" r:id="rId22" xr:uid="{2103728E-EBEE-4A99-85B8-86188AEC5EFA}"/>
    <hyperlink ref="J24" r:id="rId23" xr:uid="{DE46D361-87A1-4EFC-B16C-A0E2303A6ABF}"/>
    <hyperlink ref="J25" r:id="rId24" xr:uid="{4D8A5508-8638-4EC1-89B8-6279F3BD04B6}"/>
    <hyperlink ref="J26" r:id="rId25" xr:uid="{36B17F01-1172-486A-A601-0E2FE60BB737}"/>
    <hyperlink ref="J27" r:id="rId26" xr:uid="{5026E9F5-3120-4C9A-8A61-2151E3F5F317}"/>
    <hyperlink ref="J28" r:id="rId27" xr:uid="{2EA89BA4-C8BD-428B-8B8B-CA9114A21186}"/>
    <hyperlink ref="J29" r:id="rId28" xr:uid="{30214C5C-597F-4AC1-A7FC-5A0E5E6BD5F8}"/>
    <hyperlink ref="J30" r:id="rId29" xr:uid="{F11F8E5E-30A0-4424-AB29-AFC7CC837F42}"/>
    <hyperlink ref="J31" r:id="rId30" xr:uid="{33B3F38A-5383-4F86-AAAE-DA728C622B19}"/>
    <hyperlink ref="J32" r:id="rId31" xr:uid="{2F01ECF0-2969-4399-9CEC-5446C61FE1A2}"/>
    <hyperlink ref="J33" r:id="rId32" xr:uid="{CA921802-94A3-43E2-91BD-C1729E9835C9}"/>
    <hyperlink ref="J34" r:id="rId33" xr:uid="{31534EF1-B5A6-4855-84BE-ABE8CECD9635}"/>
    <hyperlink ref="J35" r:id="rId34" xr:uid="{AB9CB5D1-5A5A-4AF5-8B98-3F5A5E89B69F}"/>
    <hyperlink ref="J36" r:id="rId35" xr:uid="{738C7A73-89B7-473A-AF6F-73D88E8E6982}"/>
    <hyperlink ref="J37" r:id="rId36" xr:uid="{D66844B8-DDFF-4CA6-B410-46A0BBD98A33}"/>
    <hyperlink ref="J38" r:id="rId37" xr:uid="{D0F0F1C9-421A-4EBA-B923-7B46F16C8E00}"/>
    <hyperlink ref="J39" r:id="rId38" xr:uid="{D3DF14D4-A036-495E-BA0C-DC5BC3333ED0}"/>
    <hyperlink ref="J40" r:id="rId39" xr:uid="{B1DFFF6F-E026-4485-85CD-0A652DFDEAD9}"/>
    <hyperlink ref="J41" r:id="rId40" xr:uid="{9901EF00-BEBE-4FC8-AA46-34774455E74C}"/>
    <hyperlink ref="J42" r:id="rId41" xr:uid="{72D0BB62-DD60-4C88-8DFA-CA406DADE69B}"/>
    <hyperlink ref="J43" r:id="rId42" xr:uid="{51F1289E-B744-4B8C-BE56-938FA3AD2B37}"/>
    <hyperlink ref="J44" r:id="rId43" xr:uid="{873F28B8-8591-43A5-9B36-D848CC031A32}"/>
    <hyperlink ref="J45" r:id="rId44" xr:uid="{15A72A19-C2AE-4753-AE99-74AA25F22784}"/>
    <hyperlink ref="J46" r:id="rId45" xr:uid="{D71DF0AE-30D8-45BD-84B3-FC49D9DCA317}"/>
    <hyperlink ref="J47" r:id="rId46" xr:uid="{4AFF0835-3854-49D9-A9C1-12A7FB7AF5C1}"/>
    <hyperlink ref="J48" r:id="rId47" xr:uid="{1492D5A8-F409-42DC-9D9C-88B6AABC1305}"/>
    <hyperlink ref="J49" r:id="rId48" xr:uid="{838206E2-63F2-427E-BCA1-096AAF0F0980}"/>
    <hyperlink ref="J50" r:id="rId49" xr:uid="{83509007-ECCC-4CFD-B8B8-B5C9ED5AA717}"/>
    <hyperlink ref="J51" r:id="rId50" xr:uid="{F2363428-8D26-43FB-97EE-8488739835E5}"/>
    <hyperlink ref="J52" r:id="rId51" xr:uid="{EE62E4BE-F8C3-4BBF-8EDA-61D13440D093}"/>
    <hyperlink ref="J53" r:id="rId52" xr:uid="{15872487-18BE-44AC-9A4F-9767F6F6C652}"/>
    <hyperlink ref="J54" r:id="rId53" xr:uid="{E76BEA6A-6E03-497D-B1B1-F0CA613F014C}"/>
    <hyperlink ref="J55" r:id="rId54" xr:uid="{AEC23657-D7A1-4157-9124-A581EDCB1F7E}"/>
    <hyperlink ref="J56" r:id="rId55" xr:uid="{EE84C543-795B-4684-AAAF-CF8617FC6342}"/>
    <hyperlink ref="J57" r:id="rId56" xr:uid="{81010202-3C30-40F2-B90E-8A211BD3A1DA}"/>
    <hyperlink ref="J58" r:id="rId57" xr:uid="{3B67DB81-0B44-4540-91CC-16182A3623D6}"/>
    <hyperlink ref="J59" r:id="rId58" xr:uid="{90B2E9C1-6B7C-4669-B05A-02FE3A4D375E}"/>
    <hyperlink ref="J60" r:id="rId59" xr:uid="{FCA46B66-0C41-462C-9A35-75AED98D205C}"/>
    <hyperlink ref="J61" r:id="rId60" xr:uid="{3FCBA260-ECE3-4CD3-8D00-E3FC1C4A6BB7}"/>
    <hyperlink ref="J62" r:id="rId61" xr:uid="{38011BE8-51BA-4C8D-9969-4E86845DCAEB}"/>
    <hyperlink ref="J63" r:id="rId62" xr:uid="{E4B8052E-5943-4BF6-ACE7-2EFDE90B1F02}"/>
    <hyperlink ref="J64" r:id="rId63" xr:uid="{AA1D7B9F-EA66-4AD5-BE4B-4E2C5D14634F}"/>
    <hyperlink ref="J65" r:id="rId64" xr:uid="{98673067-B9E5-4C68-9F05-0BF2097F1063}"/>
    <hyperlink ref="J66" r:id="rId65" xr:uid="{F374A688-4DE4-4C62-B2D0-9EFBCB11BB9A}"/>
    <hyperlink ref="J67" r:id="rId66" xr:uid="{DC111A3E-3F7D-4F74-B2A3-5D13466FDF65}"/>
    <hyperlink ref="J68" r:id="rId67" xr:uid="{A8D83EC0-27E3-455F-946C-019A86BE3DFE}"/>
    <hyperlink ref="J69" r:id="rId68" xr:uid="{6A1B25CC-355E-4016-97DA-B474A59F4973}"/>
    <hyperlink ref="J70" r:id="rId69" xr:uid="{7788C6C1-A58F-4849-BBA1-BBAA50E6D36A}"/>
    <hyperlink ref="J71" r:id="rId70" xr:uid="{FDBFD7CF-6610-4D57-976B-1553AF464995}"/>
    <hyperlink ref="J72" r:id="rId71" xr:uid="{E7C1D365-D385-47CB-9616-F72CFE392DD1}"/>
    <hyperlink ref="J73" r:id="rId72" xr:uid="{2142F20B-E288-40CE-9484-D59BD3EF982E}"/>
    <hyperlink ref="J74" r:id="rId73" xr:uid="{71F86E3E-3727-4B48-BDB3-14B3D6E57514}"/>
    <hyperlink ref="J75" r:id="rId74" xr:uid="{5FC1F00F-8EF0-47D4-A2A9-CC3748644DAF}"/>
    <hyperlink ref="J76" r:id="rId75" xr:uid="{8F86A872-E449-4F49-AA45-9704908CE18A}"/>
    <hyperlink ref="J77" r:id="rId76" xr:uid="{2C944930-4C9F-428C-998D-B3ECA88062A3}"/>
    <hyperlink ref="J78" r:id="rId77" xr:uid="{AD0BBABC-32A9-4963-ADB3-8A418F51E821}"/>
    <hyperlink ref="J79" r:id="rId78" xr:uid="{41000B13-1CF4-4146-9AED-07FD6DB391FA}"/>
    <hyperlink ref="J80" r:id="rId79" xr:uid="{ACBC5F9D-57EB-4C01-BC83-450D9DF5D1DB}"/>
    <hyperlink ref="J81" r:id="rId80" xr:uid="{AABDC759-8B1C-40CB-997F-E0F69D2948A8}"/>
    <hyperlink ref="J82" r:id="rId81" xr:uid="{59A3422D-5FDA-4EA1-85D6-D862577AC5F8}"/>
    <hyperlink ref="J84" r:id="rId82" xr:uid="{1D44BBE9-5EAA-4CA9-BB92-9F28388FB234}"/>
    <hyperlink ref="J85" r:id="rId83" xr:uid="{B295B38B-6D1E-4ED4-B7EC-F2270C3E2BC7}"/>
    <hyperlink ref="J86" r:id="rId84" xr:uid="{EC06D0B5-122F-40B5-93CF-63F105FC269D}"/>
    <hyperlink ref="J87" r:id="rId85" xr:uid="{5FDD5A27-4ED7-43B6-BE49-A0F4A11D99B2}"/>
    <hyperlink ref="J88" r:id="rId86" xr:uid="{364DEB31-41FA-487F-8741-4F35E818CE2B}"/>
    <hyperlink ref="J89" r:id="rId87" xr:uid="{E68F1461-1537-4837-AED6-9C0AF9F2D808}"/>
    <hyperlink ref="J90" r:id="rId88" xr:uid="{68610273-DEF2-4D4B-A46E-AC61AD53F4A0}"/>
    <hyperlink ref="J91" r:id="rId89" xr:uid="{D77B3A4C-ACAA-4404-8E28-3EF9A82DA9CB}"/>
    <hyperlink ref="J92" r:id="rId90" xr:uid="{529ABE87-C81B-4BFF-8FB2-95D5844F9D43}"/>
    <hyperlink ref="J93" r:id="rId91" xr:uid="{8114E4BE-C6CD-455F-A2D8-9280C0FF0BDF}"/>
    <hyperlink ref="J94" r:id="rId92" xr:uid="{5AE25813-8B38-413C-9FB9-D7D2EB394B6C}"/>
    <hyperlink ref="J95" r:id="rId93" xr:uid="{0DA6392A-581B-4538-A593-E95BCA888AF5}"/>
    <hyperlink ref="J96" r:id="rId94" xr:uid="{19E122AC-2FA8-41E0-AD6D-32063C1A176E}"/>
    <hyperlink ref="J97" r:id="rId95" xr:uid="{FC662344-5A4C-4516-B5AA-EE5A2512428A}"/>
    <hyperlink ref="J98" r:id="rId96" xr:uid="{7EAB936A-960F-40F9-82DC-52F5BC634F31}"/>
    <hyperlink ref="J99" r:id="rId97" xr:uid="{12F93A3D-C9AC-4ADD-8F68-403E2E891535}"/>
    <hyperlink ref="J100" r:id="rId98" xr:uid="{53DAAA75-7465-4D83-A1A8-C1EA332B908A}"/>
    <hyperlink ref="J101" r:id="rId99" xr:uid="{B59D23E7-F787-470F-A847-F5350A7C78F4}"/>
    <hyperlink ref="J102" r:id="rId100" xr:uid="{F5017C4C-79FA-420D-928D-9A81851434F7}"/>
    <hyperlink ref="J103" r:id="rId101" xr:uid="{7B2D6F2C-0304-4900-8ED5-44ADE9023DDA}"/>
    <hyperlink ref="J104" r:id="rId102" xr:uid="{64C6884A-F0CA-42E5-BF6A-6AE6E813A16E}"/>
    <hyperlink ref="J105" r:id="rId103" xr:uid="{0ECE3B6B-47C9-4CA7-B4D8-CF815EE35DEF}"/>
    <hyperlink ref="J106" r:id="rId104" xr:uid="{08C429A2-83BE-4ADE-BE5B-F75EFCC7BBB9}"/>
    <hyperlink ref="J107" r:id="rId105" xr:uid="{56BD7A3D-6E83-4373-8526-6C88F4A73239}"/>
    <hyperlink ref="J108" r:id="rId106" xr:uid="{7E413A83-2A1E-439E-9C7C-3F578C638DD5}"/>
    <hyperlink ref="J109" r:id="rId107" xr:uid="{A5C565FE-8EEA-4794-9056-3FB572A76221}"/>
    <hyperlink ref="J110" r:id="rId108" xr:uid="{3433C7E5-57DF-4E7C-ABAC-2E5FD8C1281C}"/>
    <hyperlink ref="J111" r:id="rId109" xr:uid="{52BB2789-6FAB-4222-A1B6-3311055A2E4B}"/>
    <hyperlink ref="J112" r:id="rId110" xr:uid="{7FA0EC22-56BA-456D-9236-08F6A1976A0E}"/>
    <hyperlink ref="J113" r:id="rId111" xr:uid="{166762B4-5700-459C-A4C3-59C478FA093A}"/>
    <hyperlink ref="J114" r:id="rId112" xr:uid="{E51991F7-E8DA-4FF8-A318-777134306887}"/>
    <hyperlink ref="J115" r:id="rId113" xr:uid="{E5A9FCE3-D23E-470E-8510-8BB977EB3606}"/>
    <hyperlink ref="J116" r:id="rId114" xr:uid="{8EBFE122-F1F1-4707-95F6-E87C31D0D0EE}"/>
    <hyperlink ref="J117" r:id="rId115" xr:uid="{1120FAF3-5BBC-48C4-A1CA-832D485E0CE6}"/>
    <hyperlink ref="J118" r:id="rId116" xr:uid="{60DC892F-CDF1-4CC2-90BC-63F4763F924A}"/>
    <hyperlink ref="J119" r:id="rId117" xr:uid="{2EE8D362-05DE-4CF0-A9B6-79F67EF09E7A}"/>
    <hyperlink ref="J120" r:id="rId118" xr:uid="{8D73A381-73D4-477A-9DE5-CFA4CF972794}"/>
    <hyperlink ref="J121" r:id="rId119" xr:uid="{7067F03C-1E71-4A0F-9AA1-0F7FF5583A99}"/>
    <hyperlink ref="J122" r:id="rId120" xr:uid="{5E5658D7-1D6C-44C1-BB5B-0FF877BD66C6}"/>
    <hyperlink ref="J123" r:id="rId121" xr:uid="{E652E858-5815-46D9-AB0B-3DEC2F5568A9}"/>
    <hyperlink ref="J124" r:id="rId122" xr:uid="{AD69E9EF-39F6-4EBB-870B-02FD98135E93}"/>
    <hyperlink ref="J125" r:id="rId123" xr:uid="{2DDF040D-16DA-414F-9B0C-0740064EF9E1}"/>
    <hyperlink ref="J126" r:id="rId124" xr:uid="{B09F8926-7E71-4E5B-B7BF-EBE8D5C50C51}"/>
    <hyperlink ref="J127" r:id="rId125" xr:uid="{7F6EE8B6-6367-4594-A400-2DE86E3EF498}"/>
    <hyperlink ref="J128" r:id="rId126" xr:uid="{77C6CD34-173B-442C-A3AD-8BC06AA64AE3}"/>
    <hyperlink ref="J129" r:id="rId127" xr:uid="{C2476CA7-4942-456A-964D-2C2BAB17E7EC}"/>
    <hyperlink ref="J130" r:id="rId128" xr:uid="{12C42118-FF8D-46A3-89A2-6BBAB0CF70C3}"/>
    <hyperlink ref="J131" r:id="rId129" xr:uid="{A793BFEC-F202-42DF-B513-A64851ADE85C}"/>
    <hyperlink ref="J132" r:id="rId130" xr:uid="{3F1FF910-12B0-46D8-BC19-8714FA21FD73}"/>
    <hyperlink ref="J133" r:id="rId131" xr:uid="{915AD371-9E1F-4F5E-A3EC-2225F5DE59E2}"/>
    <hyperlink ref="J134" r:id="rId132" xr:uid="{322AF081-8962-4B16-AEDD-A5C7DC3639BF}"/>
    <hyperlink ref="J135" r:id="rId133" xr:uid="{C90C9CD2-588F-410C-A40E-F17C7C8396AE}"/>
    <hyperlink ref="J136" r:id="rId134" xr:uid="{10AAFE71-2E32-44A3-9430-7E672DF03E43}"/>
    <hyperlink ref="J137" r:id="rId135" xr:uid="{721046CC-4595-48D2-BDBF-92260C3C3D4A}"/>
    <hyperlink ref="J138" r:id="rId136" xr:uid="{D07CB810-885D-4C4A-96EE-480E4D94AE6D}"/>
    <hyperlink ref="J139" r:id="rId137" xr:uid="{80B171B0-163A-429D-AEB6-1A278C64D3B0}"/>
    <hyperlink ref="J140" r:id="rId138" xr:uid="{1F284285-C124-46BC-88B0-8612C20F105F}"/>
    <hyperlink ref="J141" r:id="rId139" xr:uid="{D40B853F-A4E7-4AC1-B4D5-FD663EE215EC}"/>
    <hyperlink ref="J142" r:id="rId140" xr:uid="{EEB19F7A-D730-494C-8688-F342E2B25315}"/>
    <hyperlink ref="J143" r:id="rId141" xr:uid="{1E34C207-458C-4204-9616-D7E7A0A0E59F}"/>
    <hyperlink ref="J144" r:id="rId142" xr:uid="{1E63B830-706D-4FC5-A41B-7583B98F5CB7}"/>
    <hyperlink ref="J145" r:id="rId143" xr:uid="{20ACA775-C01C-41CB-ACB2-C9DCEB4841FD}"/>
    <hyperlink ref="J146" r:id="rId144" xr:uid="{E5BA5A3B-DE06-4ED3-AA0A-5655E90C9C2A}"/>
    <hyperlink ref="J147" r:id="rId145" xr:uid="{C922E6D3-51CF-47C7-A267-C34D8F2CEF86}"/>
    <hyperlink ref="J148" r:id="rId146" xr:uid="{CA2CE611-87F8-4B72-ACE4-9C2A563F65B8}"/>
    <hyperlink ref="J149" r:id="rId147" xr:uid="{8E852DD1-E69A-47C8-8DF4-7BA8C2F57747}"/>
    <hyperlink ref="J150" r:id="rId148" xr:uid="{81A74C68-238A-4A9A-84C7-36D84BB3432C}"/>
    <hyperlink ref="J151" r:id="rId149" xr:uid="{37E90B0A-7351-4647-A263-BF19346BBA4D}"/>
    <hyperlink ref="J152" r:id="rId150" xr:uid="{4A0A4AD4-EF1C-4654-9B85-793CFA2424BA}"/>
    <hyperlink ref="J153" r:id="rId151" xr:uid="{ACA60D2B-C8F3-4454-95DD-78901CA96A63}"/>
    <hyperlink ref="J154" r:id="rId152" xr:uid="{16CB3898-3422-4B2B-96A6-E93D79058BFB}"/>
    <hyperlink ref="J155" r:id="rId153" xr:uid="{9705B986-4634-4C88-A271-2A1E4905D727}"/>
    <hyperlink ref="J156" r:id="rId154" xr:uid="{96FBB46F-136E-496A-8C7F-48ADABB2919F}"/>
    <hyperlink ref="J157" r:id="rId155" xr:uid="{D274D6DF-7F7B-452D-B627-7D368B2D068B}"/>
    <hyperlink ref="J158" r:id="rId156" xr:uid="{3C254BB8-5763-4790-808D-571E0CD827CF}"/>
    <hyperlink ref="J159" r:id="rId157" xr:uid="{131A3539-3973-48D9-981E-0F0E5DA0C473}"/>
    <hyperlink ref="J160" r:id="rId158" xr:uid="{0B75BCF5-EEE6-47E1-AD1D-FF3A8AAB1B2C}"/>
    <hyperlink ref="J161" r:id="rId159" xr:uid="{C100D0EF-FA3C-4EC9-A905-DB5D8B38D25F}"/>
    <hyperlink ref="J162" r:id="rId160" xr:uid="{96E7A7E8-F313-48C5-B6EF-B0C584A85EAB}"/>
    <hyperlink ref="J163" r:id="rId161" xr:uid="{485AABC4-B561-42EB-AEC1-3358551A91B9}"/>
    <hyperlink ref="J164" r:id="rId162" xr:uid="{E37D9E62-F35C-4BDD-85F5-1886FF9F8026}"/>
    <hyperlink ref="J166" r:id="rId163" xr:uid="{10D11C19-357A-4C38-9F41-9FCA6D5D3274}"/>
    <hyperlink ref="J167" r:id="rId164" xr:uid="{907DBD78-759E-486C-942F-713CE40267B8}"/>
    <hyperlink ref="J168" r:id="rId165" xr:uid="{3A3FA53B-BAE5-47DB-B88B-EB24F63C224E}"/>
    <hyperlink ref="J169" r:id="rId166" xr:uid="{22036E0B-B697-44EE-AB7D-99D208E9BE3E}"/>
    <hyperlink ref="J170" r:id="rId167" xr:uid="{3161E8A5-5B15-4983-BB8C-B626A5742788}"/>
    <hyperlink ref="J171" r:id="rId168" xr:uid="{EB19E515-7877-4C74-9996-FDDEEAF53B17}"/>
    <hyperlink ref="J172" r:id="rId169" xr:uid="{DB8BF5DB-2F91-4DE9-AC09-508FD14053AB}"/>
    <hyperlink ref="J173" r:id="rId170" xr:uid="{4C7FDF58-FD39-403C-BC7B-DBDDCCFB3E36}"/>
    <hyperlink ref="J174" r:id="rId171" xr:uid="{E2B5A699-FDE1-4BFB-B5D0-CF04D87E37EE}"/>
    <hyperlink ref="J175" r:id="rId172" xr:uid="{57929507-E35F-4EC1-8D18-D5697C448F03}"/>
    <hyperlink ref="J176" r:id="rId173" xr:uid="{E27F2548-FA84-47C1-9D8D-413D08BCDB60}"/>
    <hyperlink ref="J177" r:id="rId174" xr:uid="{B62A59F3-4F37-4812-BAC8-449ECB52E022}"/>
    <hyperlink ref="J178" r:id="rId175" xr:uid="{FBD258AC-F853-4996-AF32-DC1891F55DFE}"/>
    <hyperlink ref="K178" r:id="rId176" xr:uid="{AC08C973-392D-40AC-A4A8-3453CF906306}"/>
    <hyperlink ref="J179" r:id="rId177" xr:uid="{1AF6BD24-027A-4AE7-B5ED-219F0BF56999}"/>
    <hyperlink ref="J180" r:id="rId178" xr:uid="{AB43FA51-A255-4DD4-A789-86A7E3817780}"/>
    <hyperlink ref="J181" r:id="rId179" xr:uid="{38B620E6-8B6E-40FF-A1B6-4A37026333B4}"/>
    <hyperlink ref="J182" r:id="rId180" xr:uid="{482EEE7F-B647-44C2-A654-6944DE3697A1}"/>
    <hyperlink ref="J183" r:id="rId181" xr:uid="{C506F778-4074-4D18-8DE1-758D88938E21}"/>
    <hyperlink ref="J184" r:id="rId182" xr:uid="{3AAC4B55-1EE0-4171-B349-57E9AB3CA692}"/>
    <hyperlink ref="J185" r:id="rId183" xr:uid="{90C9422F-7F88-442E-8CF2-2B4A934FE491}"/>
    <hyperlink ref="J186" r:id="rId184" xr:uid="{5B6F6339-3F20-4620-89BB-2C3ACDEEDEB8}"/>
    <hyperlink ref="K186" r:id="rId185" xr:uid="{F61A7FCA-F9D4-4443-8648-D47B033E196E}"/>
    <hyperlink ref="J187" r:id="rId186" xr:uid="{A65AF66A-C756-4236-929B-B4C44B395584}"/>
    <hyperlink ref="J188" r:id="rId187" xr:uid="{DD0EBD22-17D2-40F4-BD56-822294E7227F}"/>
    <hyperlink ref="J189" r:id="rId188" xr:uid="{47600172-BB88-40B4-862F-00194801B853}"/>
    <hyperlink ref="J190" r:id="rId189" xr:uid="{ED7302AE-7231-4CB2-8ED8-122396ECAD5C}"/>
    <hyperlink ref="J191" r:id="rId190" xr:uid="{8D342ED6-B3B4-4663-86DB-5F15C88DCC11}"/>
    <hyperlink ref="J192" r:id="rId191" xr:uid="{611B1EC8-C700-4A0B-887B-68638AE67854}"/>
    <hyperlink ref="J193" r:id="rId192" xr:uid="{8542DAD7-0BF7-4BAA-B56D-48F0E8A599F9}"/>
    <hyperlink ref="J194" r:id="rId193" xr:uid="{6DEBC95C-B756-4B64-9CAA-15FF89124F44}"/>
    <hyperlink ref="J195" r:id="rId194" xr:uid="{E58B5042-FDE1-4399-83D0-91B8E1E29F6B}"/>
    <hyperlink ref="J196" r:id="rId195" xr:uid="{1712B5A3-A1AB-420D-9BC2-20F266F109EB}"/>
    <hyperlink ref="J197" r:id="rId196" xr:uid="{6031ADAA-8519-4C13-AF0E-743704DE215F}"/>
    <hyperlink ref="J199" r:id="rId197" xr:uid="{08046CC1-E241-4976-AA01-D822277A42B5}"/>
    <hyperlink ref="J200" r:id="rId198" xr:uid="{0E134D31-F9B5-4FEF-AC34-B5E590F3672E}"/>
    <hyperlink ref="J201" r:id="rId199" xr:uid="{B7ABE423-EAA8-4D35-8209-168B0DD8AAA3}"/>
    <hyperlink ref="J202" r:id="rId200" xr:uid="{70055101-D29A-4DC0-9565-B5C4F80641F2}"/>
    <hyperlink ref="J203" r:id="rId201" xr:uid="{6BF790B3-C180-4AB4-8645-0E92E1084C3D}"/>
    <hyperlink ref="J204" r:id="rId202" xr:uid="{BADAC422-AE4B-4770-AD54-07E4D597770E}"/>
    <hyperlink ref="J205" r:id="rId203" xr:uid="{66F55767-2893-4E72-802B-AFD414344348}"/>
    <hyperlink ref="J206" r:id="rId204" xr:uid="{6C60BCD2-4EAC-4342-B92A-AAB419A660BE}"/>
    <hyperlink ref="J207" r:id="rId205" xr:uid="{8F93E1ED-63C6-4872-8F7A-20945A698BB8}"/>
    <hyperlink ref="J208" r:id="rId206" xr:uid="{0B60EDB4-1011-4BE8-8F43-AD6FFA203665}"/>
    <hyperlink ref="J209" r:id="rId207" xr:uid="{CBE25EA3-9523-4F95-AF60-5AB74AC4CDED}"/>
    <hyperlink ref="J210" r:id="rId208" xr:uid="{22D4834B-31CB-41DA-848C-25FA12DF06C4}"/>
    <hyperlink ref="J211" r:id="rId209" xr:uid="{ADF6C010-2FB8-4389-BEBC-76BF0BB992F3}"/>
    <hyperlink ref="J212" r:id="rId210" xr:uid="{9F39A004-FBDE-4707-8E18-0E602F2A60E6}"/>
    <hyperlink ref="J213" r:id="rId211" xr:uid="{99C54610-1784-4CDC-9E7B-AFB90B6B25C5}"/>
    <hyperlink ref="J214" r:id="rId212" xr:uid="{9C3536B5-B009-40C6-BF90-6A4C21188362}"/>
    <hyperlink ref="J215" r:id="rId213" xr:uid="{6BC41682-EAC9-4616-96C4-C90E4D18F343}"/>
    <hyperlink ref="J216" r:id="rId214" xr:uid="{B8F85117-204A-499A-8EC5-43175EA62B33}"/>
    <hyperlink ref="J217" r:id="rId215" xr:uid="{58949FEE-BDC6-4B09-8ACB-9984E8599094}"/>
    <hyperlink ref="J218" r:id="rId216" xr:uid="{09DC9B7D-4769-4FD2-B217-9F2BB432EC87}"/>
    <hyperlink ref="J219" r:id="rId217" xr:uid="{51EC588E-1DA6-4D2D-8459-0ABEC14583EA}"/>
    <hyperlink ref="J220" r:id="rId218" xr:uid="{0F335738-0C59-4742-AE70-A579C0820260}"/>
    <hyperlink ref="J221" r:id="rId219" xr:uid="{13B52CFA-B4A5-438A-B91F-89DD289CFB8E}"/>
    <hyperlink ref="J222" r:id="rId220" xr:uid="{C58DAD3E-4EE6-485D-BFBB-67A38D40E147}"/>
    <hyperlink ref="J223" r:id="rId221" xr:uid="{C97E1A79-013C-4102-98CF-5EBD64AA32F3}"/>
    <hyperlink ref="J224" r:id="rId222" xr:uid="{4D991780-201E-4FA0-B8D9-8DF0219A9B18}"/>
    <hyperlink ref="J225" r:id="rId223" xr:uid="{7622C20E-CBE1-4EE8-BFD5-3DDEE806D3F4}"/>
    <hyperlink ref="J226" r:id="rId224" xr:uid="{46619EB0-0454-442B-91FA-12BD2564515A}"/>
    <hyperlink ref="J227" r:id="rId225" xr:uid="{2393A204-BC03-43D3-B8E4-F584DA6AE543}"/>
    <hyperlink ref="J228" r:id="rId226" xr:uid="{553E4B6E-486E-4567-88E6-823C9A880E2F}"/>
    <hyperlink ref="J229" r:id="rId227" xr:uid="{473A09E6-E4D8-4E4C-AD9D-EE6250F0D9A5}"/>
    <hyperlink ref="J230" r:id="rId228" xr:uid="{EE423ECF-D71C-4265-B6AB-266B39D4AA67}"/>
    <hyperlink ref="J231" r:id="rId229" xr:uid="{1DD115CA-A66E-4FD4-A50C-B2D04009F746}"/>
    <hyperlink ref="J232" r:id="rId230" xr:uid="{53225F60-D22F-4939-BEF5-C459328F7239}"/>
    <hyperlink ref="J233" r:id="rId231" xr:uid="{C02012E5-6F9E-49E0-9989-B10A88AA0F5D}"/>
    <hyperlink ref="J234" r:id="rId232" xr:uid="{0F3B7438-8DB0-494D-9C99-85A03BA030ED}"/>
    <hyperlink ref="J235" r:id="rId233" xr:uid="{891D1CF2-F536-4284-BE83-0539759E70AC}"/>
    <hyperlink ref="J236" r:id="rId234" xr:uid="{CE8DFFFE-4234-4615-AA57-85537135EF24}"/>
    <hyperlink ref="J237" r:id="rId235" xr:uid="{31B2A603-3BE6-4CFE-AE7A-13CDCD6049C2}"/>
    <hyperlink ref="J238" r:id="rId236" xr:uid="{C6AA9F99-7940-47D4-A686-BE6F7F9AC420}"/>
    <hyperlink ref="J239" r:id="rId237" xr:uid="{3EB28319-204C-4A6C-AC0F-F611C07E5438}"/>
    <hyperlink ref="J240" r:id="rId238" xr:uid="{6777F4E9-3341-40DE-A48E-041D0572353B}"/>
    <hyperlink ref="J241" r:id="rId239" xr:uid="{CE4BACF8-CC6F-4257-BCBD-E4234D7CDCA0}"/>
    <hyperlink ref="J242" r:id="rId240" xr:uid="{780649E2-D9DE-41A3-B1E1-0FB9396AD932}"/>
    <hyperlink ref="J243" r:id="rId241" xr:uid="{BC37709F-7FEB-4664-A935-DB0EE5E0B0FA}"/>
    <hyperlink ref="J244" r:id="rId242" xr:uid="{B7FDC940-D763-4D17-BD0D-9DE6B5AF428A}"/>
    <hyperlink ref="J245" r:id="rId243" xr:uid="{89B49D84-2D58-478F-B080-8D879809D45A}"/>
    <hyperlink ref="J246" r:id="rId244" xr:uid="{CCFF5DE0-8F65-4F92-B454-F8A2A2013CBC}"/>
    <hyperlink ref="J247" r:id="rId245" xr:uid="{2D9FDBE6-C0AC-42E4-932C-2E91376C8019}"/>
    <hyperlink ref="J248" r:id="rId246" xr:uid="{0D660174-2F1D-47AE-846A-A646E3F77171}"/>
    <hyperlink ref="J249" r:id="rId247" xr:uid="{9BF95F1B-DAD7-4E10-8203-995F0AEBCA30}"/>
    <hyperlink ref="J250" r:id="rId248" xr:uid="{30C3245F-6128-45D9-8350-65B07706E6F8}"/>
    <hyperlink ref="J251" r:id="rId249" xr:uid="{A3D87821-6CCE-4682-8102-22D079C002CA}"/>
    <hyperlink ref="J252" r:id="rId250" xr:uid="{9687B7CC-21F3-45FF-8FB0-9A2CE986A634}"/>
    <hyperlink ref="J253" r:id="rId251" xr:uid="{694C3727-57F7-4AF9-9B67-BA57E39C3497}"/>
    <hyperlink ref="J254" r:id="rId252" xr:uid="{9D23FAB5-0B54-4D7C-B447-34D36DBB4DCE}"/>
    <hyperlink ref="J255" r:id="rId253" xr:uid="{EC7AB44F-47DF-4D89-958A-B0236D27B5A3}"/>
    <hyperlink ref="J256" r:id="rId254" xr:uid="{D1278EBB-D3C7-4570-9ACB-B8097DB28494}"/>
    <hyperlink ref="J257" r:id="rId255" xr:uid="{B34ABE64-94DD-4DA2-88EC-8235818BB8BD}"/>
    <hyperlink ref="J258" r:id="rId256" xr:uid="{C636F1D0-4BAE-4331-A67A-82CBF929CED8}"/>
    <hyperlink ref="J259" r:id="rId257" xr:uid="{286C4303-D670-4E55-A85B-37159ECACB58}"/>
    <hyperlink ref="J260" r:id="rId258" xr:uid="{F556594C-8906-4A04-9EF6-32CFCB181E75}"/>
    <hyperlink ref="J261" r:id="rId259" xr:uid="{8571C5EF-71F2-401D-B1FF-4FBB812BECB3}"/>
    <hyperlink ref="J262" r:id="rId260" xr:uid="{BDD8D5DC-1C62-4BCA-B9A5-F777D871CFF7}"/>
    <hyperlink ref="J263" r:id="rId261" xr:uid="{A85AE91F-8813-4B8A-80B3-3B7D29458043}"/>
    <hyperlink ref="J264" r:id="rId262" xr:uid="{17F38592-D4EC-458C-9133-E3A7C79497B9}"/>
    <hyperlink ref="J265" r:id="rId263" xr:uid="{7FB4160E-5F73-413C-AD2D-4F305381E8EC}"/>
    <hyperlink ref="J266" r:id="rId264" xr:uid="{A9FA6A92-1571-49A8-A06C-18D3ED505867}"/>
    <hyperlink ref="J267" r:id="rId265" xr:uid="{7D9A1757-B71C-44F8-AFB3-ADB135847DBC}"/>
    <hyperlink ref="J268" r:id="rId266" xr:uid="{70366D73-1A31-4962-8E62-ACF143102C85}"/>
    <hyperlink ref="J269" r:id="rId267" xr:uid="{69F89F4E-CAC2-4005-8A28-5075924250F7}"/>
    <hyperlink ref="J270" r:id="rId268" xr:uid="{61E256FD-6984-43D6-8ADC-347BE31FF8F1}"/>
    <hyperlink ref="J271" r:id="rId269" xr:uid="{68C114AF-5FAC-49C8-A3E8-AFC6BD45D19B}"/>
    <hyperlink ref="J272" r:id="rId270" xr:uid="{65D6C15A-7776-4C66-9B6D-2A79CFB66BFB}"/>
    <hyperlink ref="J273" r:id="rId271" xr:uid="{3189F96F-8C1A-44AD-ADF4-1D7D64E68A15}"/>
    <hyperlink ref="J274" r:id="rId272" xr:uid="{03C3C59D-616A-44BE-8E9C-9A21BCEB4FF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HCSBD</vt:lpstr>
      <vt:lpstr>FDA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Jordi Montoya</cp:lastModifiedBy>
  <dcterms:created xsi:type="dcterms:W3CDTF">2021-01-26T09:55:46Z</dcterms:created>
  <dcterms:modified xsi:type="dcterms:W3CDTF">2021-01-26T11:31:40Z</dcterms:modified>
</cp:coreProperties>
</file>